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65" yWindow="585" windowWidth="14385" windowHeight="11460" tabRatio="562" firstSheet="1" activeTab="5"/>
  </bookViews>
  <sheets>
    <sheet name="Simulation User Interface" sheetId="1" r:id="rId1"/>
    <sheet name="Rapid Testing and Test Data" sheetId="2" r:id="rId2"/>
    <sheet name="Simulation Model" sheetId="3" r:id="rId3"/>
    <sheet name="CFO Feedback" sheetId="4" r:id="rId4"/>
    <sheet name="MKT Feedback" sheetId="5" r:id="rId5"/>
    <sheet name="MFG Feedback" sheetId="6" r:id="rId6"/>
    <sheet name="Design Methodology" sheetId="7" r:id="rId7"/>
    <sheet name="zKDCalcPropertiesVHS" sheetId="8" state="veryHidden" r:id="rId8"/>
  </sheets>
  <definedNames>
    <definedName name="Calc_BERevenue">'Simulation Model'!$Q$119</definedName>
    <definedName name="Calc_BEVolume">'Simulation Model'!$Q$118</definedName>
    <definedName name="Calc_BEYears">'Simulation Model'!$Q$120</definedName>
    <definedName name="Calc_Capacity">'Simulation Model'!$Z$109</definedName>
    <definedName name="Calc_CC_FixedCost">'Simulation Model'!$Q$29:$Q$35</definedName>
    <definedName name="Calc_CC_Labor">'Simulation Model'!$R$31</definedName>
    <definedName name="Calc_CC_Machinery">'Simulation Model'!$R$33</definedName>
    <definedName name="Calc_CC_MktInvest">'Simulation Model'!$R$30</definedName>
    <definedName name="Calc_CC_Outsource">'Simulation Model'!$R$35</definedName>
    <definedName name="Calc_CC_Plant">'Simulation Model'!$R$29</definedName>
    <definedName name="Calc_CC_RawMat">'Simulation Model'!$R$32</definedName>
    <definedName name="Calc_CC_Tools">'Simulation Model'!$R$34</definedName>
    <definedName name="Calc_CC_VarCost">'Simulation Model'!$P$29:$P$35</definedName>
    <definedName name="Calc_Demand">'Simulation Model'!$Z$17</definedName>
    <definedName name="Calc_FixedCost">'Simulation Model'!$AC$23</definedName>
    <definedName name="Calc_Graph_BEVolume_Label">'Simulation Model'!$AF$39</definedName>
    <definedName name="Calc_Graph_BEVolume_Values">'Simulation Model'!$AG$39:$AK$39</definedName>
    <definedName name="Calc_Graph_FixedCost_Label">'Simulation Model'!$AF$35</definedName>
    <definedName name="Calc_Graph_FixedCost_Values">'Simulation Model'!$AG$35:$AK$35</definedName>
    <definedName name="Calc_Graph_Revenue_Label">'Simulation Model'!$AF$38</definedName>
    <definedName name="Calc_Graph_Revenue_Values">'Simulation Model'!$AG$38:$AK$38</definedName>
    <definedName name="Calc_Graph_TotalCost_Label">'Simulation Model'!$AF$37</definedName>
    <definedName name="Calc_Graph_TotalCost_Values">'Simulation Model'!$AG$37:$AK$37</definedName>
    <definedName name="Calc_Graph_VarCost_Label">'Simulation Model'!$AF$36</definedName>
    <definedName name="Calc_Graph_VarCost_Values">'Simulation Model'!$AG$36:$AK$36</definedName>
    <definedName name="Calc_Graph_XValues_Values">'Simulation Model'!$AG$34:$AK$34</definedName>
    <definedName name="Calc_IN_BEF">'Simulation Model'!$L$25:$L$27</definedName>
    <definedName name="Calc_IN_BEFPos1">'Simulation Model'!$L$25</definedName>
    <definedName name="Calc_IN_BEFPos2">'Simulation Model'!$L$26</definedName>
    <definedName name="Calc_IN_BEFPos3">'Simulation Model'!$L$27</definedName>
    <definedName name="Calc_IN_CC">'Simulation Model'!$L$33:$L$39</definedName>
    <definedName name="Calc_IN_CC_Labor">'Simulation Model'!$L$35</definedName>
    <definedName name="Calc_IN_CC_Labor_Display">'Simulation Model'!$M$35</definedName>
    <definedName name="Calc_IN_CC_Machinery">'Simulation Model'!$L$37</definedName>
    <definedName name="Calc_IN_CC_Machinery_Display">'Simulation Model'!$M$37</definedName>
    <definedName name="Calc_IN_CC_MktInvest">'Simulation Model'!$L$34</definedName>
    <definedName name="Calc_IN_CC_MktInvest_Display">'Simulation Model'!$M$34</definedName>
    <definedName name="Calc_IN_CC_Outsource">'Simulation Model'!$L$39</definedName>
    <definedName name="Calc_IN_CC_Outsource_Display">'Simulation Model'!$M$39</definedName>
    <definedName name="Calc_IN_CC_Plant">'Simulation Model'!$L$33</definedName>
    <definedName name="Calc_IN_CC_Plant_Display">'Simulation Model'!$M$33</definedName>
    <definedName name="Calc_IN_CC_RawMat">'Simulation Model'!$L$36</definedName>
    <definedName name="Calc_IN_CC_RawMat_Display">'Simulation Model'!$M$36</definedName>
    <definedName name="Calc_IN_CC_Tools">'Simulation Model'!$L$38</definedName>
    <definedName name="Calc_IN_CC_Tools_Display">'Simulation Model'!$M$38</definedName>
    <definedName name="Calc_IN_MfgAuto">'Simulation Model'!$L$17</definedName>
    <definedName name="Calc_IN_MfgAuto_Display">'Simulation Model'!$M$17</definedName>
    <definedName name="Calc_IN_MktInvest">'Simulation Model'!$L$18</definedName>
    <definedName name="Calc_IN_Outsource">'Simulation Model'!$L$16</definedName>
    <definedName name="Calc_IN_Outsource_Display">'Simulation Model'!$M$16</definedName>
    <definedName name="Calc_IN_Plant">'Simulation Model'!$L$15</definedName>
    <definedName name="Calc_IN_Plant_Display">'Simulation Model'!$M$15</definedName>
    <definedName name="Calc_IN_Price">'Simulation Model'!$L$19</definedName>
    <definedName name="Calc_Labor">'Simulation Model'!$Z$48</definedName>
    <definedName name="Calc_LocaCapacityMatrix_MfgAuto_LowerBound">'Simulation Model'!$Y$103</definedName>
    <definedName name="Calc_LocaCapacityMatrix_MfgAuto_UpperBound">'Simulation Model'!$Z$103</definedName>
    <definedName name="Calc_LocaCapacityMatrix_Outsource_LowerBound">'Simulation Model'!$X$104</definedName>
    <definedName name="Calc_LocaCapacityMatrix_Outsource_UpperBound">'Simulation Model'!$X$105</definedName>
    <definedName name="Calc_LocalDemandMatrix_MktInvest_LowerBound">'Simulation Model'!$Y$11</definedName>
    <definedName name="Calc_LocalDemandMatrix_MktInvest_UpperBound">'Simulation Model'!$Z$11</definedName>
    <definedName name="Calc_LocalDemandMatrix_Price_LowerBound">'Simulation Model'!$X$12</definedName>
    <definedName name="Calc_LocalDemandMatrix_Price_UpperBound">'Simulation Model'!$X$13</definedName>
    <definedName name="Calc_LocalLaborMatrix_MfgAuto_LowerBound">'Simulation Model'!$Y$42</definedName>
    <definedName name="Calc_LocalLaborMatrix_MfgAuto_UpperBound">'Simulation Model'!$Z$42</definedName>
    <definedName name="Calc_LocalLaborMatrix_Outsource_LowerBound">'Simulation Model'!$X$43</definedName>
    <definedName name="Calc_LocalLaborMatrix_Outsource_UpperBound">'Simulation Model'!$X$44</definedName>
    <definedName name="Calc_LocalMachineryMatrix_MfgAuto_LowerBound">'Simulation Model'!$Y$66</definedName>
    <definedName name="Calc_LocalMachineryMatrix_MfgAuto_UpperBound">'Simulation Model'!$Z$66</definedName>
    <definedName name="Calc_LocalMachineryMatrix_Outsource_LowerBound">'Simulation Model'!$X$67</definedName>
    <definedName name="Calc_LocalMachineryMatrix_Outsource_UpperBound">'Simulation Model'!$X$68</definedName>
    <definedName name="Calc_LocalToolsMatrix_MfgAuto_LowerBound">'Simulation Model'!$Y$79</definedName>
    <definedName name="Calc_LocalToolsMatrix_MfgAuto_UpperBound">'Simulation Model'!$Z$79</definedName>
    <definedName name="Calc_LocalToolsMatrix_Outsource_LowerBound">'Simulation Model'!$X$80</definedName>
    <definedName name="Calc_LocalToolsMatrix_Outsource_UpperBound">'Simulation Model'!$X$81</definedName>
    <definedName name="Calc_Machinery">'Simulation Model'!$Z$72</definedName>
    <definedName name="Calc_MktInvest_Analysis">'Simulation Model'!$Y$28</definedName>
    <definedName name="Calc_OUT_Capacity_GT_BEVolume">'Simulation Model'!$AC$33</definedName>
    <definedName name="Calc_OUT_Capacity_GT_Demand">'Simulation Model'!$AC$35</definedName>
    <definedName name="Calc_OUT_CC_Labor_Cost">'Simulation Model'!$AD$15</definedName>
    <definedName name="Calc_OUT_CC_Machinery_Cost">'Simulation Model'!$AD$17</definedName>
    <definedName name="Calc_OUT_CC_MktInvest_Cost">'Simulation Model'!$AD$14</definedName>
    <definedName name="Calc_OUT_CC_Outsource_Cost">'Simulation Model'!$AD$19</definedName>
    <definedName name="Calc_OUT_CC_Plant_Cost">'Simulation Model'!$AD$13</definedName>
    <definedName name="Calc_OUT_CC_RawMat_Cost">'Simulation Model'!$AD$16</definedName>
    <definedName name="Calc_OUT_CC_Tools_Cost">'Simulation Model'!$AD$18</definedName>
    <definedName name="Calc_OUT_Demand">'Simulation Model'!$AD$9</definedName>
    <definedName name="Calc_OUT_Demand_GT_BEVolume">'Simulation Model'!$AC$34</definedName>
    <definedName name="Calc_OUT_KPI_BERevenue">'Simulation Model'!$AD$27</definedName>
    <definedName name="Calc_OUT_KPI_BEVolume">'Simulation Model'!$AD$26</definedName>
    <definedName name="Calc_OUT_KPI_BEYears">'Simulation Model'!$AD$28</definedName>
    <definedName name="Calc_OUT_KPI_Capacity">'Simulation Model'!$AD$25</definedName>
    <definedName name="Calc_OUT_KPI_FixedCost">'Simulation Model'!$AD$23</definedName>
    <definedName name="Calc_OUT_KPI_VarCost">'Simulation Model'!$AD$24</definedName>
    <definedName name="Calc_OUT_Price_GT_VarCost">'Simulation Model'!$AC$36</definedName>
    <definedName name="Calc_OutsourceParts">'Simulation Model'!$T$95</definedName>
    <definedName name="Calc_OutsourcePartsVector_LowerBound">'Simulation Model'!$S$92</definedName>
    <definedName name="Calc_OutsourcePartsVector_UpperBound">'Simulation Model'!$T$92</definedName>
    <definedName name="Calc_Pricing_Analysis">'Simulation Model'!$U$28</definedName>
    <definedName name="Calc_RawMat">'Simulation Model'!$T$58</definedName>
    <definedName name="Calc_RawMatVector_LowerBound">'Simulation Model'!$S$55</definedName>
    <definedName name="Calc_RawMatVector_UpperBound">'Simulation Model'!$T$55</definedName>
    <definedName name="Calc_Test_IN_BEFPos1">'Simulation Model'!$H$25</definedName>
    <definedName name="Calc_Test_IN_BEFPos2">'Simulation Model'!$H$26</definedName>
    <definedName name="Calc_Test_IN_BEFPos3">'Simulation Model'!$H$27</definedName>
    <definedName name="Calc_Test_IN_CC_Labor">'Simulation Model'!$H$35</definedName>
    <definedName name="Calc_Test_IN_CC_Machinery">'Simulation Model'!$H$37</definedName>
    <definedName name="Calc_Test_IN_CC_MktInvest">'Simulation Model'!$H$34</definedName>
    <definedName name="Calc_Test_IN_CC_Outsource">'Simulation Model'!$H$39</definedName>
    <definedName name="Calc_Test_IN_CC_Plant">'Simulation Model'!$H$33</definedName>
    <definedName name="Calc_Test_IN_CC_RawMat">'Simulation Model'!$H$36</definedName>
    <definedName name="Calc_Test_IN_CC_Tools">'Simulation Model'!$H$38</definedName>
    <definedName name="Calc_Test_IN_MfgAuto">'Simulation Model'!$H$17</definedName>
    <definedName name="Calc_Test_IN_MktInvest">'Simulation Model'!$H$18</definedName>
    <definedName name="Calc_Test_IN_Outsource">'Simulation Model'!$H$16</definedName>
    <definedName name="Calc_Test_IN_Plant">'Simulation Model'!$H$15</definedName>
    <definedName name="Calc_Test_IN_Price">'Simulation Model'!$H$19</definedName>
    <definedName name="Calc_Tools">'Simulation Model'!$Z$85</definedName>
    <definedName name="Calc_UI_IN_BEFPos1">'Simulation Model'!$D$25</definedName>
    <definedName name="Calc_UI_IN_BEFPos2">'Simulation Model'!$D$26</definedName>
    <definedName name="Calc_UI_IN_BEFPos3">'Simulation Model'!$D$27</definedName>
    <definedName name="Calc_UI_IN_CC_Labor">'Simulation Model'!$D$35</definedName>
    <definedName name="Calc_UI_IN_CC_Labor_Var">'Simulation Model'!$E$35</definedName>
    <definedName name="Calc_UI_IN_CC_Machinery">'Simulation Model'!$D$37</definedName>
    <definedName name="Calc_UI_IN_CC_Machinery_Var">'Simulation Model'!$E$37</definedName>
    <definedName name="Calc_UI_IN_CC_MktInvest">'Simulation Model'!$D$34</definedName>
    <definedName name="Calc_UI_IN_CC_MktInvest_Var">'Simulation Model'!$E$34</definedName>
    <definedName name="Calc_UI_IN_CC_Outsource">'Simulation Model'!$D$39</definedName>
    <definedName name="Calc_UI_IN_CC_Outsource_Var">'Simulation Model'!$E$39</definedName>
    <definedName name="Calc_UI_IN_CC_Plant">'Simulation Model'!$D$33</definedName>
    <definedName name="Calc_UI_IN_CC_Plant_Var">'Simulation Model'!$E$33</definedName>
    <definedName name="Calc_UI_IN_CC_RawMat">'Simulation Model'!$D$36</definedName>
    <definedName name="Calc_UI_IN_CC_RawMat_Var">'Simulation Model'!$E$36</definedName>
    <definedName name="Calc_UI_IN_CC_Tools">'Simulation Model'!$D$38</definedName>
    <definedName name="Calc_UI_IN_CC_Tools_Var">'Simulation Model'!$E$38</definedName>
    <definedName name="Calc_UI_IN_MfgAuto">'Simulation Model'!$D$17</definedName>
    <definedName name="Calc_UI_IN_MktInvest">'Simulation Model'!$D$18</definedName>
    <definedName name="Calc_UI_IN_Outsource">'Simulation Model'!$D$16</definedName>
    <definedName name="Calc_UI_IN_Plant">'Simulation Model'!$D$15</definedName>
    <definedName name="Calc_UI_IN_Plant_Lease">'Simulation Model'!$E$15</definedName>
    <definedName name="Calc_UI_IN_Price">'Simulation Model'!$D$19</definedName>
    <definedName name="Calc_VarCost">'Simulation Model'!$AC$24</definedName>
    <definedName name="DataSource_BEF">'Rapid Testing and Test Data'!$AQ$14:$AT$14</definedName>
    <definedName name="DataSource_CC">'Rapid Testing and Test Data'!$AQ$20:$AT$20</definedName>
    <definedName name="DataSource_Production">'Rapid Testing and Test Data'!$AQ$6:$AU$6</definedName>
    <definedName name="DataSourceSelector_BEF">'Rapid Testing and Test Data'!$J$12</definedName>
    <definedName name="DataSourceSelector_CC">'Rapid Testing and Test Data'!$J$17</definedName>
    <definedName name="DataSourceSelector_Production">'Rapid Testing and Test Data'!$J$7</definedName>
    <definedName name="Feedback_CFO">'CFO Feedback'!$C$2</definedName>
    <definedName name="Feedback_MFG">'MFG Feedback'!$C$2</definedName>
    <definedName name="Feedback_MKT">'MKT Feedback'!$C$2</definedName>
    <definedName name="LUV_BEF_DropDowns">'Simulation Model'!$AM$20:$AM$30</definedName>
    <definedName name="LUV_BEF_FixedCost">'Simulation Model'!$AM$26</definedName>
    <definedName name="LUV_BEF_Labor">'Simulation Model'!$AM$24</definedName>
    <definedName name="LUV_BEF_Machinery">'Simulation Model'!$AM$27</definedName>
    <definedName name="LUV_BEF_MktInvest">'Simulation Model'!$AM$30</definedName>
    <definedName name="LUV_BEF_Outsource">'Simulation Model'!$AM$29</definedName>
    <definedName name="LUV_BEF_Plant">'Simulation Model'!$AM$28</definedName>
    <definedName name="LUV_BEF_Price">'Simulation Model'!$AM$20</definedName>
    <definedName name="LUV_BEF_RawMat">'Simulation Model'!$AM$23</definedName>
    <definedName name="LUV_BEF_VarCost">'Simulation Model'!$AM$22</definedName>
    <definedName name="LUV_BEFCostVector_Cost">'Simulation Model'!$T$115:$T$125</definedName>
    <definedName name="LUV_BEFCostVector_Input">'Simulation Model'!$S$115:$S$125</definedName>
    <definedName name="LUV_CapacityMatrix_MfgAuto">'Simulation Model'!$Q$103:$U$103</definedName>
    <definedName name="LUV_CapacityMatrix_MfgAuto_Normalized">'Simulation Model'!$Q$102:$U$102</definedName>
    <definedName name="LUV_CapacityMatrix_Outsource">'Simulation Model'!$P$104:$P$108</definedName>
    <definedName name="LUV_CapacityMatrix_Outsource_Normalized">'Simulation Model'!$O$104:$O$108</definedName>
    <definedName name="LUV_DemandMatrix_MktInvest">'Simulation Model'!$Q$11:$U$11</definedName>
    <definedName name="LUV_DemandMatrix_MktInvest_Normalized">'Simulation Model'!$Q$10:$U$10</definedName>
    <definedName name="LUV_DemandMatrix_Price">'Simulation Model'!$P$12:$P$19</definedName>
    <definedName name="LUV_DemandMatrix_Price_Normalized">'Simulation Model'!$O$12:$O$19</definedName>
    <definedName name="LUV_Input_DropDown">'Simulation Model'!$AO$20:$AO$21</definedName>
    <definedName name="LUV_InputSwitch_UserInterface">'Simulation Model'!$AO$20</definedName>
    <definedName name="LUV_LaborMatrix_MfgAuto">'Simulation Model'!$Q$42:$U$42</definedName>
    <definedName name="LUV_LaborMatrix_MfgAuto_Normalized">'Simulation Model'!$Q$41:$U$41</definedName>
    <definedName name="LUV_LaborMatrix_Outsource">'Simulation Model'!$P$43:$P$47</definedName>
    <definedName name="LUV_LaborMatrix_Outsource_Normalized">'Simulation Model'!$O$43:$O$47</definedName>
    <definedName name="LUV_MachineryMatrix_MfgAuto">'Simulation Model'!$Q$66:$U$66</definedName>
    <definedName name="LUV_MachineryMatrix_MfgAuto_Normalized">'Simulation Model'!$Q$65:$U$65</definedName>
    <definedName name="LUV_MachineryMatrix_Outsource">'Simulation Model'!$P$67:$P$71</definedName>
    <definedName name="LUV_MachineryMatrix_Outsource_Normalized">'Simulation Model'!$O$67:$O$71</definedName>
    <definedName name="LUV_MktInvest_Analysis">'Simulation Model'!$AR$16:$AR$20</definedName>
    <definedName name="LUV_MktInvest_Good">'Simulation Model'!$AR$18</definedName>
    <definedName name="LUV_MktInvest_High">'Simulation Model'!$AR$19</definedName>
    <definedName name="LUV_MktInvest_Low">'Simulation Model'!$AR$17</definedName>
    <definedName name="LUV_MktInvest_TooHigh">'Simulation Model'!$AR$20</definedName>
    <definedName name="LUV_MktInvest_TooLow">'Simulation Model'!$AR$16</definedName>
    <definedName name="LUV_MktInvest_Value">'Simulation Model'!$AQ$16:$AQ$20</definedName>
    <definedName name="LUV_OptionButton_CC">'Simulation Model'!$AO$8:$AO$10</definedName>
    <definedName name="LUV_OptionButton_CC_Fixed">'Simulation Model'!$AO$9</definedName>
    <definedName name="LUV_OptionButton_CC_Variable">'Simulation Model'!$AO$8</definedName>
    <definedName name="LUV_OptionButton_Plant">'Simulation Model'!$AN$8:$AN$10</definedName>
    <definedName name="LUV_OptionButton_Value">'Simulation Model'!$AM$8:$AM$10</definedName>
    <definedName name="LUV_OutsourcePartsVector_Outsource">'Simulation Model'!$P$91:$P$95</definedName>
    <definedName name="LUV_OutsourcePartsVector_Outsource_Cost">'Simulation Model'!$Q$91:$Q$95</definedName>
    <definedName name="LUV_OutsourcePartsVector_Outsource_Normalized">'Simulation Model'!$O$91:$O$95</definedName>
    <definedName name="LUV_Plant">'Simulation Model'!$AM$14:$AM$16</definedName>
    <definedName name="LUV_Plant_Cost">'Simulation Model'!$AN$14:$AN$16</definedName>
    <definedName name="LUV_Price_Analysis">'Simulation Model'!$AR$8:$AR$12</definedName>
    <definedName name="LUV_Price_Good">'Simulation Model'!$AR$10</definedName>
    <definedName name="LUV_Price_High">'Simulation Model'!$AR$11</definedName>
    <definedName name="LUV_Price_Low">'Simulation Model'!$AR$9</definedName>
    <definedName name="LUV_Price_TooHigh">'Simulation Model'!$AR$12</definedName>
    <definedName name="LUV_Price_TooLow">'Simulation Model'!$AR$8</definedName>
    <definedName name="LUV_Price_Value">'Simulation Model'!$AQ$8:$AQ$12</definedName>
    <definedName name="LUV_RawMatVector_Outsource">'Simulation Model'!$P$54:$P$58</definedName>
    <definedName name="LUV_RawMatVector_Outsource_Normalized">'Simulation Model'!$O$54:$O$58</definedName>
    <definedName name="LUV_RawMatVector_RatMat">'Simulation Model'!$Q$54:$Q$58</definedName>
    <definedName name="LUV_Test_OptionButton_CC">'Rapid Testing and Test Data'!$AZ$7:$AZ$9</definedName>
    <definedName name="LUV_Test_OptionButton_CC_Value">'Rapid Testing and Test Data'!$BA$7:$BA$9</definedName>
    <definedName name="LUV_Test_OptionButton_Plant">'Rapid Testing and Test Data'!$AW$7:$AW$9</definedName>
    <definedName name="LUV_Test_OptionButton_Plant_Value">'Rapid Testing and Test Data'!$AX$7:$AX$9</definedName>
    <definedName name="LUV_ToolsMatrix_MfgAuto">'Simulation Model'!$Q$79:$U$79</definedName>
    <definedName name="LUV_ToolsMatrix_MfgAuto_Normalized">'Simulation Model'!$Q$78:$U$78</definedName>
    <definedName name="LUV_ToolsMatrix_Outsource">'Simulation Model'!$P$80:$P$84</definedName>
    <definedName name="LUV_ToolsMatrix_Outsource_Normalized">'Simulation Model'!$O$80:$O$84</definedName>
    <definedName name="OFFSET_CapacityMatrix">'Simulation Model'!$O$101</definedName>
    <definedName name="OFFSET_DemandMatrix">'Simulation Model'!$O$9</definedName>
    <definedName name="OFFSET_LaborMatrix">'Simulation Model'!$O$40</definedName>
    <definedName name="OFFSET_MachineryMatrix">'Simulation Model'!$O$64</definedName>
    <definedName name="OFFSET_ToolsMatrix">'Simulation Model'!$O$77</definedName>
    <definedName name="solver_cvg" localSheetId="2" hidden="1">0.0001</definedName>
    <definedName name="solver_drv" localSheetId="2" hidden="1">2</definedName>
    <definedName name="solver_est" localSheetId="2" hidden="1">2</definedName>
    <definedName name="solver_itr" localSheetId="2" hidden="1">500</definedName>
    <definedName name="solver_lin" localSheetId="2" hidden="1">2</definedName>
    <definedName name="solver_neg" localSheetId="2" hidden="1">2</definedName>
    <definedName name="solver_num" localSheetId="2" hidden="1">13</definedName>
    <definedName name="solver_nwt" localSheetId="2" hidden="1">2</definedName>
    <definedName name="solver_pre" localSheetId="2" hidden="1">0.0000001</definedName>
    <definedName name="solver_rel1" localSheetId="2" hidden="1">1</definedName>
    <definedName name="solver_rel10" localSheetId="2" hidden="1">4</definedName>
    <definedName name="solver_rel11" localSheetId="2" hidden="1">4</definedName>
    <definedName name="solver_rel12" localSheetId="2" hidden="1">4</definedName>
    <definedName name="solver_rel13" localSheetId="2" hidden="1">4</definedName>
    <definedName name="solver_rel2" localSheetId="2" hidden="1">3</definedName>
    <definedName name="solver_rel3" localSheetId="2" hidden="1">1</definedName>
    <definedName name="solver_rel4" localSheetId="2" hidden="1">3</definedName>
    <definedName name="solver_rel5" localSheetId="2" hidden="1">1</definedName>
    <definedName name="solver_rel6" localSheetId="2" hidden="1">3</definedName>
    <definedName name="solver_rel7" localSheetId="2" hidden="1">1</definedName>
    <definedName name="solver_rel8" localSheetId="2" hidden="1">3</definedName>
    <definedName name="solver_rel9" localSheetId="2" hidden="1">3</definedName>
    <definedName name="solver_rhs1" localSheetId="2" hidden="1">3</definedName>
    <definedName name="solver_rhs2" localSheetId="2" hidden="1">1</definedName>
    <definedName name="solver_rhs3" localSheetId="2" hidden="1">3</definedName>
    <definedName name="solver_rhs4" localSheetId="2" hidden="1">1</definedName>
    <definedName name="solver_rhs5" localSheetId="2" hidden="1">1000000</definedName>
    <definedName name="solver_rhs6" localSheetId="2" hidden="1">0</definedName>
    <definedName name="solver_rhs7" localSheetId="2" hidden="1">500</definedName>
    <definedName name="solver_rhs8" localSheetId="2" hidden="1">300</definedName>
    <definedName name="solver_scl" localSheetId="2" hidden="1">1</definedName>
    <definedName name="solver_sho" localSheetId="2" hidden="1">1</definedName>
    <definedName name="solver_tim" localSheetId="2" hidden="1">240</definedName>
    <definedName name="solver_tol" localSheetId="2" hidden="1">0.01</definedName>
    <definedName name="solver_typ" localSheetId="2" hidden="1">3</definedName>
    <definedName name="solver_val" localSheetId="2" hidden="1">0</definedName>
    <definedName name="SWITCH_INPUT">'Simulation Model'!$D$3</definedName>
    <definedName name="Test_IN_BEFPos1">'Rapid Testing and Test Data'!$AN$15</definedName>
    <definedName name="Test_IN_BEFPos2">'Rapid Testing and Test Data'!$AN$16</definedName>
    <definedName name="Test_IN_BEFPos3">'Rapid Testing and Test Data'!$AN$17</definedName>
    <definedName name="Test_IN_CC_Labor">'Rapid Testing and Test Data'!$AO$23</definedName>
    <definedName name="Test_IN_CC_Machinery">'Rapid Testing and Test Data'!$AO$25</definedName>
    <definedName name="Test_IN_CC_MktInvest">'Rapid Testing and Test Data'!$AO$22</definedName>
    <definedName name="Test_IN_CC_Outsource">'Rapid Testing and Test Data'!$AO$27</definedName>
    <definedName name="Test_IN_CC_Plant">'Rapid Testing and Test Data'!$AO$21</definedName>
    <definedName name="Test_IN_CC_RawMat">'Rapid Testing and Test Data'!$AO$24</definedName>
    <definedName name="Test_IN_CC_Tools">'Rapid Testing and Test Data'!$AO$26</definedName>
    <definedName name="Test_IN_MfgAuto">'Rapid Testing and Test Data'!$AO$9</definedName>
    <definedName name="Test_IN_MktInvest">'Rapid Testing and Test Data'!$AN$10</definedName>
    <definedName name="Test_IN_Outsource">'Rapid Testing and Test Data'!$AO$8</definedName>
    <definedName name="Test_IN_Plant">'Rapid Testing and Test Data'!$AO$7</definedName>
    <definedName name="Test_IN_Price">'Rapid Testing and Test Data'!$AN$11</definedName>
    <definedName name="UI_IN_BEFPos1">'Simulation User Interface'!$D$17</definedName>
    <definedName name="UI_IN_BEFPos2">'Simulation User Interface'!$H$17</definedName>
    <definedName name="UI_IN_BEFPos3">'Simulation User Interface'!$K$17</definedName>
    <definedName name="UI_IN_MktInvest">'Simulation User Interface'!$E$12</definedName>
    <definedName name="UI_IN_Price">'Simulation User Interface'!$H$12</definedName>
    <definedName name="UI_OUT_FeedbackCFO">'CFO Feedback'!$D$2</definedName>
    <definedName name="zKDCalcCheckDependencies" hidden="1">TRUE</definedName>
    <definedName name="zKDCalcFileName" hidden="1">"BreakEven.kdc"</definedName>
    <definedName name="zKDCalcOutputDir" hidden="1">"C:\Inetpub\wwwroot\KDCalcTest\breakeven\html\"</definedName>
    <definedName name="zKDCalcPackageName" hidden="1">"kdyn.app.breakeven"</definedName>
    <definedName name="zKDCalcSheetAnalysisBR" hidden="1">"BE216"</definedName>
    <definedName name="zKDCalcSheetAnalysisIncl" hidden="1">"Yes"</definedName>
    <definedName name="zKDCalcSheetAnalysisSynch" hidden="1">"Yes"</definedName>
    <definedName name="zKDCalcSheetAnalysisTL" hidden="1">"A1"</definedName>
    <definedName name="zKDCalcSheetInterfaceBR" hidden="1">"V43"</definedName>
    <definedName name="zKDCalcSheetInterfaceIncl" hidden="1">"Yes"</definedName>
    <definedName name="zKDCalcSheetInterfaceSmallerBR" hidden="1">"U49"</definedName>
    <definedName name="zKDCalcSheetInterfaceSmallerIncl" hidden="1">"Yes"</definedName>
    <definedName name="zKDCalcSheetInterfaceSmallerTL" hidden="1">"A1"</definedName>
    <definedName name="zKDCalcSheetInterfaceSynch" hidden="1">"Yes"</definedName>
    <definedName name="zKDCalcSheetInterfaceTL" hidden="1">"A1"</definedName>
    <definedName name="zKDCalcSheetInterfacewctrlsBR" hidden="1">"V43"</definedName>
    <definedName name="zKDCalcSheetInterfacewctrlsIncl" hidden="1">"Yes"</definedName>
    <definedName name="zKDCalcSheetInterfacewctrlsSynch" hidden="1">"Yes"</definedName>
    <definedName name="zKDCalcSheetInterfacewctrlsTL" hidden="1">"A1"</definedName>
    <definedName name="zKDCalcSheetUIInterfaceBR" hidden="1">"V51"</definedName>
    <definedName name="zKDCalcSheetUIInterfaceIncl" hidden="1">"No"</definedName>
    <definedName name="zKDCalcSheetUIInterfaceTL" hidden="1">"A1"</definedName>
    <definedName name="zKDDispBR" hidden="1">"V43"</definedName>
    <definedName name="zKDDispCellDetect" hidden="1">1</definedName>
    <definedName name="zKDDispDynColor" hidden="1">14737632</definedName>
    <definedName name="zKDDispDynDisplayColor" hidden="1">14737632</definedName>
    <definedName name="zKDDispFileName" hidden="1">"BreakEven.html"</definedName>
    <definedName name="zKDDispGenType" hidden="1">0</definedName>
    <definedName name="zKDDispGridlines" hidden="1">0</definedName>
    <definedName name="zKDDispHeaders" hidden="1">0</definedName>
    <definedName name="zKDDispInputCellBorder" hidden="1">2</definedName>
    <definedName name="zKDDispInputColor" hidden="1">65280</definedName>
    <definedName name="zKDDispInputDisplayColor" hidden="1">16777215</definedName>
    <definedName name="zKDDispInStartText" hidden="1">"IN_"</definedName>
    <definedName name="zKDDispSheetAnalysisBR" hidden="1">"BE216"</definedName>
    <definedName name="zKDDispSheetAnalysisIncl" hidden="1">"No"</definedName>
    <definedName name="zKDDispSheetAnalysisSynch" hidden="1">"Yes"</definedName>
    <definedName name="zKDDispSheetAnalysisTL" hidden="1">"A1"</definedName>
    <definedName name="zKDDispSheetInterfaceBR" hidden="1">"V43"</definedName>
    <definedName name="zKDDispSheetInterfaceIncl" hidden="1">"Yes"</definedName>
    <definedName name="zKDDispSheetInterfaceSynch" hidden="1">"Yes"</definedName>
    <definedName name="zKDDispSheetInterfaceTL" hidden="1">"A1"</definedName>
    <definedName name="zKDDispSheetInterfacewctrlsBR" hidden="1">"V43"</definedName>
    <definedName name="zKDDispSheetInterfacewctrlsIncl" hidden="1">"No"</definedName>
    <definedName name="zKDDispSheetInterfacewctrlsSynch" hidden="1">"Yes"</definedName>
    <definedName name="zKDDispSheetInterfacewctrlsTL" hidden="1">"A1"</definedName>
    <definedName name="zKDDispTemplate" hidden="1">"C:\kd\Dev\src\Tools\KDCalc\v01\Src\KDCalcParser\Release\templates\HTML\"</definedName>
    <definedName name="zKDDispTemplateType" hidden="1">0</definedName>
    <definedName name="zKDDispTL" hidden="1">"B2"</definedName>
    <definedName name="zKDDispWidthPct" hidden="1">80</definedName>
    <definedName name="zKDDispWidthPixel" hidden="1">500</definedName>
    <definedName name="zKDDispWidthType" hidden="1">0</definedName>
    <definedName name="zKDGenDisp" hidden="1">1</definedName>
    <definedName name="zKDGenKDC" hidden="1">1</definedName>
    <definedName name="zKDSSDiscourseContextFileName" hidden="1">"C:\kd\Projects\_Internal\Breakeven\2_Development\Data\"</definedName>
    <definedName name="zKDSSDiscourseDBFileName" hidden="1">"C:\kd\Projects\_Internal\Breakeven\2_Development\Data\CTX09_DiscourseDat.mdb"</definedName>
    <definedName name="zKDSSOutputFileName" hidden="1">"C:\Kd\Dev\Src\SrcXLS\SheetSmartsOutput"</definedName>
    <definedName name="zKDSSRegressionDBFileName" hidden="1">"C:\KD\Dev\Src\SrcData\DiscourseRegressionArchiveDat.mdb"</definedName>
    <definedName name="zKDStyleBackground" hidden="1">0</definedName>
    <definedName name="zKDStyleFont" hidden="1">0</definedName>
    <definedName name="zKDStyleNumFormat" hidden="1">1</definedName>
  </definedNames>
  <calcPr fullCalcOnLoad="1"/>
</workbook>
</file>

<file path=xl/comments1.xml><?xml version="1.0" encoding="utf-8"?>
<comments xmlns="http://schemas.openxmlformats.org/spreadsheetml/2006/main">
  <authors>
    <author>Michael H. Rubin</author>
    <author>Jeffrey_S_Zakem</author>
  </authors>
  <commentList>
    <comment ref="M20" authorId="0">
      <text>
        <r>
          <rPr>
            <sz val="8"/>
            <rFont val="Tahoma"/>
            <family val="0"/>
          </rPr>
          <t>Graph displaying the breakeven analysis.</t>
        </r>
      </text>
    </comment>
    <comment ref="C20" authorId="0">
      <text>
        <r>
          <rPr>
            <b/>
            <sz val="8"/>
            <rFont val="Tahoma"/>
            <family val="0"/>
          </rPr>
          <t>Classify the following production factors as being mainly fixed cost or variable cost</t>
        </r>
      </text>
    </comment>
    <comment ref="C15" authorId="0">
      <text>
        <r>
          <rPr>
            <b/>
            <sz val="8"/>
            <rFont val="Tahoma"/>
            <family val="0"/>
          </rPr>
          <t>Fill in the blanks below to derive the break even formula.</t>
        </r>
      </text>
    </comment>
    <comment ref="Q5" authorId="0">
      <text>
        <r>
          <rPr>
            <b/>
            <sz val="8"/>
            <rFont val="Tahoma"/>
            <family val="0"/>
          </rPr>
          <t>The KPI's are the important metrics involved in a break even analysis.</t>
        </r>
      </text>
    </comment>
    <comment ref="C42" authorId="0">
      <text>
        <r>
          <rPr>
            <b/>
            <sz val="8"/>
            <rFont val="Tahoma"/>
            <family val="0"/>
          </rPr>
          <t>Submit your design to the CFO for review.</t>
        </r>
      </text>
    </comment>
    <comment ref="D7" authorId="0">
      <text>
        <r>
          <rPr>
            <b/>
            <sz val="8"/>
            <rFont val="Tahoma"/>
            <family val="0"/>
          </rPr>
          <t>Buy or Lease the physical plant.</t>
        </r>
      </text>
    </comment>
    <comment ref="G7" authorId="0">
      <text>
        <r>
          <rPr>
            <b/>
            <sz val="8"/>
            <rFont val="Tahoma"/>
            <family val="0"/>
          </rPr>
          <t>What percent of the lawnmower production do you want to outsource?</t>
        </r>
      </text>
    </comment>
    <comment ref="D11" authorId="0">
      <text>
        <r>
          <rPr>
            <b/>
            <sz val="8"/>
            <rFont val="Tahoma"/>
            <family val="0"/>
          </rPr>
          <t>How much money do you want to spend on marketing?</t>
        </r>
      </text>
    </comment>
    <comment ref="H11" authorId="0">
      <text>
        <r>
          <rPr>
            <b/>
            <sz val="8"/>
            <rFont val="Tahoma"/>
            <family val="0"/>
          </rPr>
          <t>How much do you want to charge for the lawn mower?</t>
        </r>
      </text>
    </comment>
    <comment ref="J7" authorId="1">
      <text>
        <r>
          <rPr>
            <b/>
            <sz val="8"/>
            <rFont val="Tahoma"/>
            <family val="2"/>
          </rPr>
          <t>What percentage of lawnmower production do you want to automate with machinery versus using direct labor?</t>
        </r>
      </text>
    </comment>
    <comment ref="F42" authorId="1">
      <text>
        <r>
          <rPr>
            <b/>
            <sz val="8"/>
            <rFont val="Tahoma"/>
            <family val="0"/>
          </rPr>
          <t>Submit your design to the VP of Marketing for Review</t>
        </r>
      </text>
    </comment>
    <comment ref="I42" authorId="1">
      <text>
        <r>
          <rPr>
            <b/>
            <sz val="8"/>
            <rFont val="Tahoma"/>
            <family val="0"/>
          </rPr>
          <t>Submit your design to the VP of Manufacturing for Review.</t>
        </r>
      </text>
    </comment>
  </commentList>
</comments>
</file>

<file path=xl/comments2.xml><?xml version="1.0" encoding="utf-8"?>
<comments xmlns="http://schemas.openxmlformats.org/spreadsheetml/2006/main">
  <authors>
    <author>Jeffrey_S_Zakem</author>
  </authors>
  <commentList>
    <comment ref="U21" authorId="0">
      <text>
        <r>
          <rPr>
            <b/>
            <sz val="8"/>
            <rFont val="Tahoma"/>
            <family val="0"/>
          </rPr>
          <t>CFO Feedback on Decisions.</t>
        </r>
      </text>
    </comment>
    <comment ref="U29" authorId="0">
      <text>
        <r>
          <rPr>
            <b/>
            <sz val="8"/>
            <rFont val="Tahoma"/>
            <family val="0"/>
          </rPr>
          <t>VP of Marketing Feedback on Decisions.</t>
        </r>
      </text>
    </comment>
    <comment ref="U37" authorId="0">
      <text>
        <r>
          <rPr>
            <b/>
            <sz val="8"/>
            <rFont val="Tahoma"/>
            <family val="0"/>
          </rPr>
          <t>VP of Manufacturing Feedback on Decisions.</t>
        </r>
      </text>
    </comment>
  </commentList>
</comments>
</file>

<file path=xl/comments3.xml><?xml version="1.0" encoding="utf-8"?>
<comments xmlns="http://schemas.openxmlformats.org/spreadsheetml/2006/main">
  <authors>
    <author>Jeffrey_S_Zakem</author>
  </authors>
  <commentList>
    <comment ref="R27" authorId="0">
      <text>
        <r>
          <rPr>
            <sz val="10"/>
            <rFont val="Tahoma"/>
            <family val="2"/>
          </rPr>
          <t>Attribute each cost to the Fixed or Variable totals, based on the classifications indicated by the learner.  Let learner's cost classification errors flow all the way through the simulation model.</t>
        </r>
      </text>
    </comment>
  </commentList>
</comments>
</file>

<file path=xl/sharedStrings.xml><?xml version="1.0" encoding="utf-8"?>
<sst xmlns="http://schemas.openxmlformats.org/spreadsheetml/2006/main" count="920" uniqueCount="484">
  <si>
    <t>Variable Cost</t>
  </si>
  <si>
    <t>Direct Labor</t>
  </si>
  <si>
    <t>Raw Materials</t>
  </si>
  <si>
    <t>Physical Plant</t>
  </si>
  <si>
    <t>Machinery Capital</t>
  </si>
  <si>
    <t>Tool Capital</t>
  </si>
  <si>
    <t>Outsourced Parts</t>
  </si>
  <si>
    <t>Variable</t>
  </si>
  <si>
    <t>Value</t>
  </si>
  <si>
    <t>Cost</t>
  </si>
  <si>
    <t>Break Even Volume</t>
  </si>
  <si>
    <t>Break Even Formula</t>
  </si>
  <si>
    <t>Position 1</t>
  </si>
  <si>
    <t>Position 2</t>
  </si>
  <si>
    <t>Position 3</t>
  </si>
  <si>
    <t>Price</t>
  </si>
  <si>
    <t>Raw Materials Cost</t>
  </si>
  <si>
    <t>Machinery Cost</t>
  </si>
  <si>
    <t>Break Even Revenue</t>
  </si>
  <si>
    <t>Outsourced Parts Cost</t>
  </si>
  <si>
    <t>Outsourcing</t>
  </si>
  <si>
    <t>Marketing Investment</t>
  </si>
  <si>
    <t>Marketing</t>
  </si>
  <si>
    <t>Automation</t>
  </si>
  <si>
    <t>Physical Plant Costs</t>
  </si>
  <si>
    <t>Normalized</t>
  </si>
  <si>
    <t>BEV</t>
  </si>
  <si>
    <t>Projected Demand</t>
  </si>
  <si>
    <t>Demand</t>
  </si>
  <si>
    <t>Break Even Graph</t>
  </si>
  <si>
    <t>Volume</t>
  </si>
  <si>
    <t>BEV-.1</t>
  </si>
  <si>
    <t>bev+.1</t>
  </si>
  <si>
    <t>BEV*1.5</t>
  </si>
  <si>
    <t>Capacity &gt; Demand</t>
  </si>
  <si>
    <t>Projected Demand Matrix</t>
  </si>
  <si>
    <t>Revenue</t>
  </si>
  <si>
    <t>Labor Cost</t>
  </si>
  <si>
    <t>Total Cost</t>
  </si>
  <si>
    <t>Building Lease Cost</t>
  </si>
  <si>
    <t>Buy</t>
  </si>
  <si>
    <t>Lease</t>
  </si>
  <si>
    <t>BE Volume</t>
  </si>
  <si>
    <t>Fixed Cost</t>
  </si>
  <si>
    <t>TANRO</t>
  </si>
  <si>
    <t>Outsourcing Dependence</t>
  </si>
  <si>
    <t>Pricing</t>
  </si>
  <si>
    <t>Manufacturing Automation</t>
  </si>
  <si>
    <t>break-even formula</t>
  </si>
  <si>
    <t>cost classification</t>
  </si>
  <si>
    <t>Marketing Dollars</t>
  </si>
  <si>
    <t>Fixed</t>
  </si>
  <si>
    <t>Total Fixed Cost</t>
  </si>
  <si>
    <t>Total Variable Cost</t>
  </si>
  <si>
    <t>key performance indicators</t>
  </si>
  <si>
    <t>Production Capacity/yr</t>
  </si>
  <si>
    <t>Years to Break Even</t>
  </si>
  <si>
    <t>break-even graph</t>
  </si>
  <si>
    <t>CFO</t>
  </si>
  <si>
    <t>Manufacturing</t>
  </si>
  <si>
    <t>Glossary</t>
  </si>
  <si>
    <t>Help</t>
  </si>
  <si>
    <t>Exit</t>
  </si>
  <si>
    <t>Cost Classification</t>
  </si>
  <si>
    <t>zKDGenKDC</t>
  </si>
  <si>
    <t>zKDGenDisp</t>
  </si>
  <si>
    <t>zKDCalcFileName</t>
  </si>
  <si>
    <t>zKDStyleNumFormat</t>
  </si>
  <si>
    <t>zKDStyleBackground</t>
  </si>
  <si>
    <t>zKDStyleFont</t>
  </si>
  <si>
    <t>zKDCalcSheetUserInterfaceIncl</t>
  </si>
  <si>
    <t>Yes</t>
  </si>
  <si>
    <t>zKDCalcSheetUserInterfaceTL</t>
  </si>
  <si>
    <t>A1</t>
  </si>
  <si>
    <t>zKDCalcSheetUserInterfaceBR</t>
  </si>
  <si>
    <t>zKDCalcSheetUserInterfaceSynch</t>
  </si>
  <si>
    <t>zKDCalcSheetConfigIncl</t>
  </si>
  <si>
    <t>zKDCalcSheetConfigTL</t>
  </si>
  <si>
    <t>zKDCalcSheetConfigBR</t>
  </si>
  <si>
    <t>zKDCalcSheetConfigSynch</t>
  </si>
  <si>
    <t>zKDCalcSheetAnalysisIncl</t>
  </si>
  <si>
    <t>zKDCalcSheetAnalysisTL</t>
  </si>
  <si>
    <t>zKDCalcSheetAnalysisBR</t>
  </si>
  <si>
    <t>zKDCalcSheetAnalysisSynch</t>
  </si>
  <si>
    <t>zKDCalcOutputDir</t>
  </si>
  <si>
    <t>zKDDispFileName</t>
  </si>
  <si>
    <t>zKDDispTemplateType</t>
  </si>
  <si>
    <t>zKDDispTemplate</t>
  </si>
  <si>
    <t>zKDDispCellDetect</t>
  </si>
  <si>
    <t>zKDDispInputColor</t>
  </si>
  <si>
    <t>zKDDispInStartText</t>
  </si>
  <si>
    <t>zKDDispInputDisplayColor</t>
  </si>
  <si>
    <t>zKDDispGridlines</t>
  </si>
  <si>
    <t>zKDDispHeaders</t>
  </si>
  <si>
    <t>zKDDispGenType</t>
  </si>
  <si>
    <t>zKDDispRecalc</t>
  </si>
  <si>
    <t>zKDDispInputCellBorder</t>
  </si>
  <si>
    <t>zKDDispWidthType</t>
  </si>
  <si>
    <t>zKDDispWidthPixel</t>
  </si>
  <si>
    <t>zKDDispWidthPct</t>
  </si>
  <si>
    <t>zKDDispSheetUserInterfaceIncl</t>
  </si>
  <si>
    <t>zKDDispSheetUserInterfaceTL</t>
  </si>
  <si>
    <t>zKDDispSheetUserInterfaceBR</t>
  </si>
  <si>
    <t>zKDDispSheetUserInterfaceSynch</t>
  </si>
  <si>
    <t>zKDDispSheetConfigIncl</t>
  </si>
  <si>
    <t>zKDDispSheetConfigTL</t>
  </si>
  <si>
    <t>zKDDispSheetConfigBR</t>
  </si>
  <si>
    <t>zKDDispSheetConfigSynch</t>
  </si>
  <si>
    <t>zKDDispSheetAnalysisIncl</t>
  </si>
  <si>
    <t>zKDDispSheetAnalysisTL</t>
  </si>
  <si>
    <t>zKDDispSheetAnalysisBR</t>
  </si>
  <si>
    <t>zKDDispSheetAnalysisSynch</t>
  </si>
  <si>
    <t>No</t>
  </si>
  <si>
    <t>zKDCalcSheetFeedbackIncl</t>
  </si>
  <si>
    <t>zKDCalcSheetFeedbackTL</t>
  </si>
  <si>
    <t>zKDCalcSheetFeedbackBR</t>
  </si>
  <si>
    <t>zKDCalcSheetFeedbackSynch</t>
  </si>
  <si>
    <t>zKDDispSheetFeedbackIncl</t>
  </si>
  <si>
    <t>zKDDispSheetFeedbackTL</t>
  </si>
  <si>
    <t>zKDDispSheetFeedbackBR</t>
  </si>
  <si>
    <t>zKDDispSheetFeedbackSynch</t>
  </si>
  <si>
    <t>zKDCalcSheetCFOFeedbackIncl</t>
  </si>
  <si>
    <t>zKDCalcSheetCFOFeedbackTL</t>
  </si>
  <si>
    <t>zKDCalcSheetCFOFeedbackBR</t>
  </si>
  <si>
    <t>zKDCalcSheetCFOFeedbackSynch</t>
  </si>
  <si>
    <t>zKDDispSheetCFOFeedbackIncl</t>
  </si>
  <si>
    <t>zKDDispSheetCFOFeedbackTL</t>
  </si>
  <si>
    <t>zKDDispSheetCFOFeedbackBR</t>
  </si>
  <si>
    <t>zKDDispSheetCFOFeedbackSynch</t>
  </si>
  <si>
    <t>V81</t>
  </si>
  <si>
    <t>Total Feedback:</t>
  </si>
  <si>
    <t>Good</t>
  </si>
  <si>
    <t>Break Even Analysis</t>
  </si>
  <si>
    <t>powered by:</t>
  </si>
  <si>
    <t>production and marketing</t>
  </si>
  <si>
    <t xml:space="preserve">  x Vol =</t>
  </si>
  <si>
    <t xml:space="preserve">  x Vol +</t>
  </si>
  <si>
    <t>zKDCalcSheetInterfaceIncl</t>
  </si>
  <si>
    <t>zKDCalcSheetInterfaceTL</t>
  </si>
  <si>
    <t>zKDCalcSheetInterfaceBR</t>
  </si>
  <si>
    <t>zKDCalcSheetInterfaceSynch</t>
  </si>
  <si>
    <t>zKDDispSheetInterfaceIncl</t>
  </si>
  <si>
    <t>zKDDispSheetInterfaceTL</t>
  </si>
  <si>
    <t>zKDDispSheetInterfaceBR</t>
  </si>
  <si>
    <t>x44</t>
  </si>
  <si>
    <t>zKDDispSheetInterfaceSynch</t>
  </si>
  <si>
    <t>zKDCalcSheetBasicsIncl</t>
  </si>
  <si>
    <t>zKDCalcSheetBasicsTL</t>
  </si>
  <si>
    <t>zKDCalcSheetBasicsBR</t>
  </si>
  <si>
    <t>zKDCalcSheetBasicsSynch</t>
  </si>
  <si>
    <t>zKDDispSheetBasicsIncl</t>
  </si>
  <si>
    <t>zKDDispSheetBasicsTL</t>
  </si>
  <si>
    <t>zKDDispSheetBasicsBR</t>
  </si>
  <si>
    <t>zKDDispSheetBasicsSynch</t>
  </si>
  <si>
    <t>R25</t>
  </si>
  <si>
    <t>zKDCalcSheetSheet1Incl</t>
  </si>
  <si>
    <t>zKDCalcSheetSheet1TL</t>
  </si>
  <si>
    <t>zKDCalcSheetSheet1BR</t>
  </si>
  <si>
    <t>K14</t>
  </si>
  <si>
    <t>zKDCalcSheetSheet1Synch</t>
  </si>
  <si>
    <t>zKDDispSheetSheet1Incl</t>
  </si>
  <si>
    <t>zKDDispSheetSheet1TL</t>
  </si>
  <si>
    <t>zKDDispSheetSheet1BR</t>
  </si>
  <si>
    <t>zKDDispSheetSheet1Synch</t>
  </si>
  <si>
    <t>Production Capacity</t>
  </si>
  <si>
    <t>UI_IN_</t>
  </si>
  <si>
    <t>K55</t>
  </si>
  <si>
    <t>Projected Demand  = Function(Price, Marketing Investment)</t>
  </si>
  <si>
    <t>R35</t>
  </si>
  <si>
    <t>BreakEvenKDCalcDemo.kdc</t>
  </si>
  <si>
    <t>zKDCalcSheetGUIIncl</t>
  </si>
  <si>
    <t>zKDCalcSheetGUITL</t>
  </si>
  <si>
    <t>zKDCalcSheetGUIBR</t>
  </si>
  <si>
    <t>zKDCalcSheetGUISynch</t>
  </si>
  <si>
    <t>zKDDispSheetGUIIncl</t>
  </si>
  <si>
    <t>zKDDispSheetGUITL</t>
  </si>
  <si>
    <t>zKDDispSheetGUIBR</t>
  </si>
  <si>
    <t>zKDDispSheetGUISynch</t>
  </si>
  <si>
    <t>BreakEvenTrainingSimulation.html</t>
  </si>
  <si>
    <t>C:\Program Files\Knowledge Dynamics\KDCalc\Designer\templates\HTML\</t>
  </si>
  <si>
    <t>P42</t>
  </si>
  <si>
    <t>Fundamentally, every simulation can be thought of as having exactly 3 layers: an input layer, a middle layer, and an output layer. The input layer consists of data (meaning cells containing values, not formulas). This layer includes input data values provided by the learner at runtime, data provided by an instructor, etc. Plainly stated, all data that feeds into the model makes up the input layer.</t>
  </si>
  <si>
    <t>The middle layer is formula cells that depend on the input layer. This includes formulas that depend directly on the input layer, as well as formulas that depend on other formulas in the middle layer.</t>
  </si>
  <si>
    <t>The output layer consists of the formula cells that also happen to be end-results of the simulation model. So to summarize from an architectural viewpoint, all data cells that feed into the model are the input layer. All formula cells are either in the middle layer or the output layer.</t>
  </si>
  <si>
    <t>When developing a training simulation, you will find that testing is one of the most important elements. It is helpful to be able to quickly test and retest many different scenarios. This simulation spreadsheet employs a design strategy that enables you to store multiple, independent sets of test data and quickly switch between them. We will explore this strategy further below.</t>
  </si>
  <si>
    <t>Simulation Design Methodology</t>
  </si>
  <si>
    <t>Basics</t>
  </si>
  <si>
    <t xml:space="preserve">As mentioned, testing is a vital element in any simulation development effort. For example, you will want to test many different combinations of Learner Inputs to verify that the simulation behaves properly in all situations. One method for testing is to manually enter the Learner Inputs into the Learner Interface, just as a learner will. This works fine for a few tests, however performing thorough testing this way is far from optimal because it is time consuming, inconsistent, error prone, and not easily repeatable. </t>
  </si>
  <si>
    <t>Rather than manually testing the simulation, it is better to be able to quickly switch between a number of test data sets, as is illustrated below.</t>
  </si>
  <si>
    <t>Implementation</t>
  </si>
  <si>
    <t>Efficient Design for Efficient Development</t>
  </si>
  <si>
    <t>This method is implemented here on the Config worksheet. The Learner Inputs are broken into three independent groups along subject matter lines. These are: Break Even Formula, Cost Classification, and Production Decisions. Within each group there are several sets of test data that can be selected independently of the other 2 groups.</t>
  </si>
  <si>
    <t xml:space="preserve">For example, in the 'Break Even Formula', the learner  must fill out the three parts of the BEF, namely Positions 1, 2, and 3, which correspond to the 'Input Variables' below.  The 'Value To Use' is the value that will flow into the model. The 'Value To Use' is determined by the which 'Input Source' the designer selected at the top of the page. You can check the formulas of the 'Values To Use' to see that the OFFSET and MATCH functions get the appropriate data value for each 'Input Variable'. </t>
  </si>
  <si>
    <t>Of course, prior to publishing the simulation to end users, all of the 'Input Source' selections should be set to 'UserInterface' as seen below.</t>
  </si>
  <si>
    <t>zKDCalcSheetDesignMethodologyIncl</t>
  </si>
  <si>
    <t>zKDCalcSheetDesignMethodologyTL</t>
  </si>
  <si>
    <t>zKDCalcSheetDesignMethodologyBR</t>
  </si>
  <si>
    <t>zKDCalcSheetDesignMethodologySynch</t>
  </si>
  <si>
    <t>zKDDispSheetDesignMethodologyIncl</t>
  </si>
  <si>
    <t>zKDDispSheetDesignMethodologyTL</t>
  </si>
  <si>
    <t>zKDDispSheetDesignMethodologyBR</t>
  </si>
  <si>
    <t>zKDDispSheetDesignMethodologySynch</t>
  </si>
  <si>
    <t>go to Config sheet now.</t>
  </si>
  <si>
    <t>This switching ability is set up using Excel's standard features. In the "Input Sources and Test Data" section we see the three conceptual groups, Break Even Formula, Cost Classification, and Production Decisions, running down the cells on the left. Each has an arbitrary number of sets of test data running across the cells to the right.</t>
  </si>
  <si>
    <t>L180</t>
  </si>
  <si>
    <t>Another useful technique is to aggregate the outputs near the inputs. Now you can quickly switch 'Input Sources' and watch what happens to the Output Variables, the Break Even Graph, and the Feedback from the agents.</t>
  </si>
  <si>
    <t>C:\Inetpub\wwwroot\KDCalc\demos\BreakEvenTrainingSimulation\html</t>
  </si>
  <si>
    <r>
      <t xml:space="preserve">On the Config worksheet, the section marked "Select Input Sources and Test Data" in green allows the simulation designer to pick test data from a number of different 'Input Sources'. Here we see that the Break Even Formula data will come from the User Interface </t>
    </r>
    <r>
      <rPr>
        <sz val="10"/>
        <color indexed="10"/>
        <rFont val="Arial"/>
        <family val="2"/>
      </rPr>
      <t>(this is confusing without knowledge of where you are heading)</t>
    </r>
    <r>
      <rPr>
        <sz val="10"/>
        <rFont val="Arial"/>
        <family val="0"/>
      </rPr>
      <t>, the Cost Classification data will come from a test data set that is known to be Correct, and the Production Decision data will come from a test set known to cause market demand to exceed production capacity.</t>
    </r>
  </si>
  <si>
    <r>
      <t xml:space="preserve">An arbitrary number of 'Input Sources' can be created. In the case of the Break Even Formula, there are 5 'Input Sources'. The first 'Input Source' listed below is 'UserInterface'. This will get the values entered in the User Interface on the corresponding worksheet. The second 'Input Source' is 'Manual Ad-Hoc' </t>
    </r>
    <r>
      <rPr>
        <sz val="10"/>
        <color indexed="10"/>
        <rFont val="Arial"/>
        <family val="2"/>
      </rPr>
      <t>(find better name, perhaps just 'Manual')</t>
    </r>
    <r>
      <rPr>
        <sz val="10"/>
        <rFont val="Arial"/>
        <family val="0"/>
      </rPr>
      <t xml:space="preserve">. This is a place where you can just </t>
    </r>
    <r>
      <rPr>
        <sz val="10"/>
        <rFont val="Arial"/>
        <family val="2"/>
      </rPr>
      <t>try</t>
    </r>
    <r>
      <rPr>
        <sz val="10"/>
        <rFont val="Arial"/>
        <family val="0"/>
      </rPr>
      <t xml:space="preserve"> values to see what happens to the model. Following the 'Manual Ad-Hoc' are a number of other 'Input Sources' that you may want to be able to quickly re-test to see the how the model behaves.  Here we see an 'Input Source' that has all the 'Correct' selection, and another with an 'Interesting Mistake'. As we build the model, we can quickly retry any of these 'Input Sources'.</t>
    </r>
  </si>
  <si>
    <t>Outputs</t>
  </si>
  <si>
    <t>Production and Marketing Decisions</t>
  </si>
  <si>
    <t>Display Value</t>
  </si>
  <si>
    <t>Buy/Lease Physical Plant</t>
  </si>
  <si>
    <t>--None Selected--</t>
  </si>
  <si>
    <t>Input Value</t>
  </si>
  <si>
    <t>Option Buttons</t>
  </si>
  <si>
    <t>Production Capacity/Yr</t>
  </si>
  <si>
    <t>Brean Even Revenue</t>
  </si>
  <si>
    <t>Key Performance Indicators</t>
  </si>
  <si>
    <t>Intermediate Calculations</t>
  </si>
  <si>
    <t>Local Demand Matrix</t>
  </si>
  <si>
    <t>Actual Price</t>
  </si>
  <si>
    <t>across Marketing Investment axis</t>
  </si>
  <si>
    <t>across Price axis</t>
  </si>
  <si>
    <t>Classification Value Association</t>
  </si>
  <si>
    <t>Demand Interpolation Calculations</t>
  </si>
  <si>
    <t>Constant Value Lookups</t>
  </si>
  <si>
    <t>Selection</t>
  </si>
  <si>
    <t>Direct Labor  = Function(Automation, Outsourcing)</t>
  </si>
  <si>
    <t>Direct Labor Matrix</t>
  </si>
  <si>
    <t>across Automation axis</t>
  </si>
  <si>
    <t>across Outsourcing axis</t>
  </si>
  <si>
    <t>Local Direct Labor Matrix</t>
  </si>
  <si>
    <t>Raw Materials Vector</t>
  </si>
  <si>
    <t>Direct Labor Interpolation Calculations</t>
  </si>
  <si>
    <t>Raw Materials Interpolation Calculations</t>
  </si>
  <si>
    <t>Actual Value</t>
  </si>
  <si>
    <t>Raw Materials =  Function(Outsourcing)</t>
  </si>
  <si>
    <t>Outsourced Parts Cost =  Function(Outsourcing)</t>
  </si>
  <si>
    <t>Outsourced Parts Vector</t>
  </si>
  <si>
    <t>Machinery Capital  = Function(Automation, Outsourcing)</t>
  </si>
  <si>
    <t>Machinery Capital Matrix</t>
  </si>
  <si>
    <t>Local Machinery Capital Matrix</t>
  </si>
  <si>
    <t>Machinery Capital Interpolation Calculations</t>
  </si>
  <si>
    <t>Tool Capital  = Function(Automation, Outsourcing)</t>
  </si>
  <si>
    <t>Tool Capital Matrix</t>
  </si>
  <si>
    <t>Local Tool Capital Matrix</t>
  </si>
  <si>
    <t>Tool Capital Interpolation Calculations</t>
  </si>
  <si>
    <t>Production Capacity  = Function(Automation, Outsourcing)</t>
  </si>
  <si>
    <t>Production Capacity Matrix</t>
  </si>
  <si>
    <t>Local Production Capacity Matrix</t>
  </si>
  <si>
    <t>Production Capacity Interpolation Calculations</t>
  </si>
  <si>
    <t>Cost Value</t>
  </si>
  <si>
    <t>Cost Value Vector</t>
  </si>
  <si>
    <t>Break Even Formula Drop Down</t>
  </si>
  <si>
    <t>BE Revenue</t>
  </si>
  <si>
    <t>Years to BE</t>
  </si>
  <si>
    <t>Non-Visual Feedback Outputs</t>
  </si>
  <si>
    <t>Capacity &gt;= BE Volume</t>
  </si>
  <si>
    <t>Demand &gt;= BE Volume</t>
  </si>
  <si>
    <t>Price &gt; Variable Cost</t>
  </si>
  <si>
    <t>Graph Lines</t>
  </si>
  <si>
    <t>Approval</t>
  </si>
  <si>
    <t>No Physical Plant Decision</t>
  </si>
  <si>
    <t>VC &gt; Price</t>
  </si>
  <si>
    <t>Too Low</t>
  </si>
  <si>
    <t>Too High</t>
  </si>
  <si>
    <t>Low</t>
  </si>
  <si>
    <t>High</t>
  </si>
  <si>
    <t>Analysis</t>
  </si>
  <si>
    <t>Pricing Range</t>
  </si>
  <si>
    <t>Marketing Investment Range</t>
  </si>
  <si>
    <t>zKDCalcSheetMKTFeedbackIncl</t>
  </si>
  <si>
    <t>zKDCalcSheetMKTFeedbackTL</t>
  </si>
  <si>
    <t>zKDCalcSheetMKTFeedbackBR</t>
  </si>
  <si>
    <t>zKDCalcSheetMKTFeedbackSynch</t>
  </si>
  <si>
    <t>zKDCalcSheetMFGFeedbackIncl</t>
  </si>
  <si>
    <t>zKDCalcSheetMFGFeedbackTL</t>
  </si>
  <si>
    <t>zKDCalcSheetMFGFeedbackBR</t>
  </si>
  <si>
    <t>zKDCalcSheetMFGFeedbackSynch</t>
  </si>
  <si>
    <t>zKDDispSheetMKTFeedbackIncl</t>
  </si>
  <si>
    <t>zKDDispSheetMKTFeedbackTL</t>
  </si>
  <si>
    <t>zKDDispSheetMKTFeedbackBR</t>
  </si>
  <si>
    <t>zKDDispSheetMKTFeedbackSynch</t>
  </si>
  <si>
    <t>zKDDispSheetMFGFeedbackIncl</t>
  </si>
  <si>
    <t>zKDDispSheetMFGFeedbackTL</t>
  </si>
  <si>
    <t>zKDDispSheetMFGFeedbackBR</t>
  </si>
  <si>
    <t>zKDDispSheetMFGFeedbackSynch</t>
  </si>
  <si>
    <t>Feedback Summary:</t>
  </si>
  <si>
    <t>V46</t>
  </si>
  <si>
    <t>Thank You for the Feedback</t>
  </si>
  <si>
    <t>V26</t>
  </si>
  <si>
    <t xml:space="preserve">These cells pull the User Interface Inputs from the Interface </t>
  </si>
  <si>
    <t xml:space="preserve">These calculations are the heart of the Simulation model.  They utilize the User Interface Inputs to calculate important intermediate values and </t>
  </si>
  <si>
    <t>ultimately the Outputs (just to the right)</t>
  </si>
  <si>
    <t xml:space="preserve">Here are the Outputs for the Simulation.  Most of them are displayed in the User Interface for the User, however, </t>
  </si>
  <si>
    <t>several are used solely for feedback purposes.</t>
  </si>
  <si>
    <t>The Values are Looked Up for Reference for use in the Intermediate</t>
  </si>
  <si>
    <t>Calculations and Feedback</t>
  </si>
  <si>
    <t>This cluster represents the Production and Marketing</t>
  </si>
  <si>
    <t>Decisions from the User Interface</t>
  </si>
  <si>
    <t xml:space="preserve">This cluster represents the Break Even </t>
  </si>
  <si>
    <t>Formula from the User Interface</t>
  </si>
  <si>
    <t xml:space="preserve">This cluster represents the Cost Classification from the </t>
  </si>
  <si>
    <t>User Interface</t>
  </si>
  <si>
    <t xml:space="preserve">Break down the Cost Classification cost amount </t>
  </si>
  <si>
    <t xml:space="preserve">based on whether the user has chosen them to be </t>
  </si>
  <si>
    <t>Fixed or Variable.  User Mistakes will flow through</t>
  </si>
  <si>
    <t>the Model.</t>
  </si>
  <si>
    <t>Categorize the User Pricing</t>
  </si>
  <si>
    <t xml:space="preserve">according to an set scale of </t>
  </si>
  <si>
    <t xml:space="preserve">values indicating 'Too Low', </t>
  </si>
  <si>
    <t>Categorize the User Marketing</t>
  </si>
  <si>
    <t>Investment according to an set</t>
  </si>
  <si>
    <t xml:space="preserve">scale of values indicating 'Too </t>
  </si>
  <si>
    <t>Good', 'Too High'</t>
  </si>
  <si>
    <t>Low', 'Good', 'Too High'</t>
  </si>
  <si>
    <t>Calculate the Direct Labor Cost by using an Interpolation of a 2-D Plane of values based on the Automation and Outsourcing User Decisions.</t>
  </si>
  <si>
    <t>Calculate the Projected Demand by using an Interpolation of a 2-D Plane of values based on the Price and Marketing Investment User Decisions.</t>
  </si>
  <si>
    <t>Calculate the Raw Materials Cost across a Vector of values based on the Outsourcing User Decision.</t>
  </si>
  <si>
    <t>Calculate the Machinery Cost by using an Interpolation of a 2-D Plane of values based on the Automation and Outsourcing User Decisions.</t>
  </si>
  <si>
    <t>Calculate the Outsourced Parts Cost across a Vector of values based on the Outsourcing User Decision.</t>
  </si>
  <si>
    <t>Calculate the Production Capacity by using an Interpolation of a 2-D Plane of values based on the Automation and Outsourcing User Decisions.</t>
  </si>
  <si>
    <t>Plug in the values to the Break Even Formula based on the User selected variables for the Formula as well as their other Decisions</t>
  </si>
  <si>
    <t>Display</t>
  </si>
  <si>
    <r>
      <t>Input Value</t>
    </r>
    <r>
      <rPr>
        <sz val="10"/>
        <rFont val="Arial"/>
        <family val="2"/>
      </rPr>
      <t xml:space="preserve"> (fixed)</t>
    </r>
  </si>
  <si>
    <t>(variable)</t>
  </si>
  <si>
    <r>
      <t>Input Value</t>
    </r>
    <r>
      <rPr>
        <sz val="10"/>
        <rFont val="Arial"/>
        <family val="2"/>
      </rPr>
      <t xml:space="preserve"> (buy)</t>
    </r>
  </si>
  <si>
    <t>(lease)</t>
  </si>
  <si>
    <t>User Interface/Test Configuration Input Toggle</t>
  </si>
  <si>
    <t>Input Toggle</t>
  </si>
  <si>
    <t>Use Inputs from:</t>
  </si>
  <si>
    <t>sheet.</t>
  </si>
  <si>
    <t>User Interface Inputs</t>
  </si>
  <si>
    <t>Test Inputs</t>
  </si>
  <si>
    <t>…from the Test Sheet</t>
  </si>
  <si>
    <t>Inputs for Model</t>
  </si>
  <si>
    <t>zKDCalcSheetTestIncl</t>
  </si>
  <si>
    <t>zKDCalcSheetTestTL</t>
  </si>
  <si>
    <t>zKDCalcSheetTestBR</t>
  </si>
  <si>
    <t>zKDCalcSheetTestSynch</t>
  </si>
  <si>
    <t>AC104</t>
  </si>
  <si>
    <t>zKDDispSheetTestIncl</t>
  </si>
  <si>
    <t>zKDDispSheetTestTL</t>
  </si>
  <si>
    <t>zKDDispSheetTestBR</t>
  </si>
  <si>
    <t>zKDDispSheetTestSynch</t>
  </si>
  <si>
    <t>The Break Even Formula Decisions</t>
  </si>
  <si>
    <t>to be fed into the Simulation Model</t>
  </si>
  <si>
    <t>Test</t>
  </si>
  <si>
    <t>Use Inputs from the…</t>
  </si>
  <si>
    <t>==&gt;&gt;</t>
  </si>
  <si>
    <t>&lt;- Use this drop down to select whether the model should use Inputs from the User Interface (B6:E38) or</t>
  </si>
  <si>
    <t>the Calculations and result in the Outputs</t>
  </si>
  <si>
    <t>Controled by D3, these are the inputs fed into</t>
  </si>
  <si>
    <t>fed into the Simulation Model</t>
  </si>
  <si>
    <t>The Production and Marketing Decisions to be</t>
  </si>
  <si>
    <t>the Simulation Model</t>
  </si>
  <si>
    <t xml:space="preserve">The Cost Classification Decisions to be fed into </t>
  </si>
  <si>
    <t>...Inputs from the Test Sheet</t>
  </si>
  <si>
    <t>No Feedback</t>
  </si>
  <si>
    <t>Capacity &lt; Demand</t>
  </si>
  <si>
    <t>At this time, I can't give you any feedback because I don't know how much our projected demand is going to be.  Please complete the marketing decisions, then come back to me for feedback.</t>
  </si>
  <si>
    <t>Even though you haven't decided whether or not you're going to buy or lease the physical plant, I'm going to assume we're going to have some type of manufacturing facility. Make a decision on the physical plant.</t>
  </si>
  <si>
    <t>Currently, it looks like we will not have enough manufacturing capacity to meet our projected demand.  If this happens, we won't be able to cover all of our fixed costs and the venture will not be profitable.
You can increase our capacity by increasing the levels of automation and/or outsourcing, but these are also going to increase the fixed and variable costs of the lawn mower.
You can also try raising the price. This might reduce demand while increasing the profit per unit.</t>
  </si>
  <si>
    <t>I noticed that the variable cost of building the lawn mower exceeds the price we are charging for it.  I'm not a financial expert or anything, but this is obviously wrong.  I suggest you do something to lower the variable cost, such as reducing automation or outsourcing, or increasing the price.</t>
  </si>
  <si>
    <t>It looks like we have more than enough capacity to meet demand.  I'm comfortable with your analysis from a manufacturing perspective.</t>
  </si>
  <si>
    <t>Marketing Feedback Rules:</t>
  </si>
  <si>
    <t>Nothing Done</t>
  </si>
  <si>
    <t>I can't give you any feedback right now because you haven't made any marketing decisions.  Please determine how much you want to spend on advertising and how much you want to sell the mower for, then come back to me for feedback.</t>
  </si>
  <si>
    <t>Everything looks good from a marketing perspective.  I think we are going to sell a lot of lawn mowers!</t>
  </si>
  <si>
    <t>blank placeholder</t>
  </si>
  <si>
    <t>Incomplete</t>
  </si>
  <si>
    <t>You still haven't determined how much you want to spend on advertising.  Please let me know what your plan is so that I can consider it in my feedback.</t>
  </si>
  <si>
    <t>I don't think your marketing investment is sufficient.  If we do not generate enough awareness of our new lawn mower, we are not going to sell enough to break even.</t>
  </si>
  <si>
    <t>I normally don't tell people that they are investing too much in marketing, but I think the amount your planning is too high.</t>
  </si>
  <si>
    <t>The marketing investment looks good.  I think this is enough to generate sufficient awareness of the product.</t>
  </si>
  <si>
    <t>I'd like to know how much you are going to charge for the lawn mower.  This will help me determine how many mowers we can sell.</t>
  </si>
  <si>
    <t>I think you are being too conservative with your pricing.  I think you can get away with charging a higher price.  This should make the venture look more attractive to the board.</t>
  </si>
  <si>
    <t>Your pricing is too aggressive.  I don't think we'll be able to attract mid-range customers at this level.  I think you'll find that our demand would rise significantly if you reduced the price.</t>
  </si>
  <si>
    <t>I'm comfortable with your pricing.  I think we will maximize our revenues at or near this level.</t>
  </si>
  <si>
    <t>Label of the Feedback Rule</t>
  </si>
  <si>
    <t>Blank If Rule is FALSE</t>
  </si>
  <si>
    <t>Feedback text - only used if the Feedback Rule is TRUE.</t>
  </si>
  <si>
    <t>BEF Feedback Rules:</t>
  </si>
  <si>
    <t>I'd like you to start by deriving the Break Even formula.  Please complete the formula before asking me for feedback again.</t>
  </si>
  <si>
    <t>I can see that you started to derive the Break Even formula, but I'd like you to finish it before I give you feedback.</t>
  </si>
  <si>
    <t>Three Wrong</t>
  </si>
  <si>
    <t>Less Than Three Wrong</t>
  </si>
  <si>
    <t>You derived the break even formula incorrectly.</t>
  </si>
  <si>
    <t>Pos 1 Wrong</t>
  </si>
  <si>
    <t>Pos 2 Close</t>
  </si>
  <si>
    <t>Pos 2 Wrong</t>
  </si>
  <si>
    <t xml:space="preserve">The second variable is incorrect.  This variable represents of the costs that are volume-dependent.
</t>
  </si>
  <si>
    <t>Pos 3 Close</t>
  </si>
  <si>
    <t>Pos 3 Wrong</t>
  </si>
  <si>
    <t xml:space="preserve">The third variable is still incorrect.  This variable represents the costs that are not volume-dependent.
</t>
  </si>
  <si>
    <t>Cost Classification Feedback Rules:</t>
  </si>
  <si>
    <t>Nothing Done/Incomplete</t>
  </si>
  <si>
    <t>Now that the Break Even formula is complete, I'd like you to classify all of the costs.  It is very important that this is done correctly.  If it is not, the analysis will be worthless.</t>
  </si>
  <si>
    <t>Reversed Fixed and Variable</t>
  </si>
  <si>
    <t>Some Mistakes</t>
  </si>
  <si>
    <t xml:space="preserve">You still have the following problems with your cost classification:
</t>
  </si>
  <si>
    <t>Plant Incorrect</t>
  </si>
  <si>
    <t xml:space="preserve">The PHYSICAL PLANT is NOT a variable cost.  This is considered a fixed cost because it is not dependent on the volume of production.
</t>
  </si>
  <si>
    <t>Marketing Incorrect</t>
  </si>
  <si>
    <t xml:space="preserve">MARKETING DOLLARS is NOT a variable cost.  This is considered a fixed cost because it is not dependent on the volume of production.
</t>
  </si>
  <si>
    <t>Labor Incorrect</t>
  </si>
  <si>
    <t xml:space="preserve">DIRECT LABOR is NOT a fixed cost.  This is a variable cost because it is dependant upon the volume of production.
</t>
  </si>
  <si>
    <t>Raw Materials Incorrect</t>
  </si>
  <si>
    <t xml:space="preserve">RAW MATERIALS is NOT a fixed cost.  This is a variable cost because it is dependent upon production volume.
</t>
  </si>
  <si>
    <t>Machinery Incorrect</t>
  </si>
  <si>
    <t xml:space="preserve">MACHINERY CAPITAL is not a variable cost.  This is considered a fixed cost because it is not dependent on the volume of production.
</t>
  </si>
  <si>
    <t>Tool Capital Incorrect</t>
  </si>
  <si>
    <t xml:space="preserve">TOOL CAPITAL is NOT a variable cost.  This is considered a fixed cost because it is not dependent upon production volume.
</t>
  </si>
  <si>
    <t>Outsourced Parts Incorrect</t>
  </si>
  <si>
    <t>OUTSOURCED PARTS is not a fixed cost.  This is a variable cost because it is dependent upon the volume of production.</t>
  </si>
  <si>
    <t>Financial Consideration Feedback Rules:</t>
  </si>
  <si>
    <t>You haven't decided whether or not we are going to buy or lease the physical plant.  This decision has a major impact on the analysis so it doesn't make sense for me to look at the results until you've made a decision.</t>
  </si>
  <si>
    <t>BE &gt; 2 years</t>
  </si>
  <si>
    <t>Our break even period is greater than 2 years.  If we can't get it below 2 years, the board will not approve the venture.  Continue to modify your production and marketing decisions to see if we can reduce the break even period.</t>
  </si>
  <si>
    <t>Marketing and/or Manufacturing Problems</t>
  </si>
  <si>
    <t>I think you better check in with our VP of Marketing and VP of Manufacturing.</t>
  </si>
  <si>
    <t>Overall Approval Feedback Rules:</t>
  </si>
  <si>
    <t>Your entire analysis is correct and it looks like we will be able to break even within two years.  Excellent work!  The board will be very happy.</t>
  </si>
  <si>
    <t>Nothing to Say</t>
  </si>
  <si>
    <t>I don't not have any advice to give you right now.</t>
  </si>
  <si>
    <t>BEF Feedback Summary:</t>
  </si>
  <si>
    <t>Cost Classification Feedback Summary:</t>
  </si>
  <si>
    <t>Financial Consideration Feedback Summary:</t>
  </si>
  <si>
    <t>Overall Approval Feedback Summary:</t>
  </si>
  <si>
    <t>It looks like your having some major problems with the break even formula.  All of your answers are incorrect.  
Obviously, if you can't derive the formula correctly, the entire analysis will be useless.  I strongly suggest you review the Reference System and become familiar with this concept.</t>
  </si>
  <si>
    <t>It seems like you're confused about the meaning of fixed and variable costs.  You've classified all of the variable costs as fixed, and all of the fixed costs as variable.
Remember, variable costs are dependent upon production volume. Fixed costs are not dependent upon production volume.  Refer to the Reference System if you still do not understand the difference.</t>
  </si>
  <si>
    <t>Our variable costs exceed the price we are charging for the mower!  By definition, we would never be able to break even on this venture.  Just look at our break even date - it can't even be calculated!
Try to find a combination of production and marketing decisions that allow us to break even within two years.  If this combination does not exist, the board will not approve the venture.</t>
  </si>
  <si>
    <t>W47</t>
  </si>
  <si>
    <t>AR125</t>
  </si>
  <si>
    <t>Select Input Sources and Test Data</t>
  </si>
  <si>
    <t>Outcomes Resulting from the Test Data Selected</t>
  </si>
  <si>
    <t>Production Decisions</t>
  </si>
  <si>
    <t>Correct</t>
  </si>
  <si>
    <t>Interesting Mistake</t>
  </si>
  <si>
    <t>Several Errors</t>
  </si>
  <si>
    <t>break even graph</t>
  </si>
  <si>
    <t>feedback</t>
  </si>
  <si>
    <t>Demand &gt; Capacity</t>
  </si>
  <si>
    <t>Price &lt; Variable Cost</t>
  </si>
  <si>
    <t>Input Sources and Test Data.</t>
  </si>
  <si>
    <t>Inputs</t>
  </si>
  <si>
    <t>Value to Use</t>
  </si>
  <si>
    <t>BE Volume &gt; Capacity</t>
  </si>
  <si>
    <t>production and marketing-Related User Decisions</t>
  </si>
  <si>
    <t>beak-even formula-Related User Decisions</t>
  </si>
  <si>
    <t>cost classification-Related User Decisions</t>
  </si>
  <si>
    <t>Test data sets</t>
  </si>
  <si>
    <t>Custom</t>
  </si>
  <si>
    <t>Test 4</t>
  </si>
  <si>
    <t>Text 4</t>
  </si>
  <si>
    <t>Acceptable</t>
  </si>
  <si>
    <t>Test (G6:H38) for calculations. (Make sure that this value is User Interface before making a web application)</t>
  </si>
  <si>
    <t>BA48</t>
  </si>
  <si>
    <t>H26</t>
  </si>
  <si>
    <t>zKDCalcSheetSimulationUserInterfaceIncl</t>
  </si>
  <si>
    <t>zKDCalcSheetSimulationUserInterfaceTL</t>
  </si>
  <si>
    <t>zKDCalcSheetSimulationUserInterfaceBR</t>
  </si>
  <si>
    <t>zKDCalcSheetSimulationUserInterfaceSynch</t>
  </si>
  <si>
    <t>zKDCalcSheetRapidTestingandTestDataIncl</t>
  </si>
  <si>
    <t>zKDCalcSheetRapidTestingandTestDataTL</t>
  </si>
  <si>
    <t>zKDCalcSheetRapidTestingandTestDataBR</t>
  </si>
  <si>
    <t>zKDCalcSheetRapidTestingandTestDataSynch</t>
  </si>
  <si>
    <t>zKDCalcSheetSimulationModelIncl</t>
  </si>
  <si>
    <t>zKDCalcSheetSimulationModelTL</t>
  </si>
  <si>
    <t>zKDCalcSheetSimulationModelBR</t>
  </si>
  <si>
    <t>zKDCalcSheetSimulationModelSynch</t>
  </si>
  <si>
    <t>zKDDispSheetSimulationUserInterfaceIncl</t>
  </si>
  <si>
    <t>zKDDispSheetSimulationUserInterfaceTL</t>
  </si>
  <si>
    <t>zKDDispSheetSimulationUserInterfaceBR</t>
  </si>
  <si>
    <t>zKDDispSheetSimulationUserInterfaceSynch</t>
  </si>
  <si>
    <t>zKDDispSheetRapidTestingandTestDataIncl</t>
  </si>
  <si>
    <t>zKDDispSheetRapidTestingandTestDataTL</t>
  </si>
  <si>
    <t>zKDDispSheetRapidTestingandTestDataBR</t>
  </si>
  <si>
    <t>zKDDispSheetRapidTestingandTestDataSynch</t>
  </si>
  <si>
    <t>zKDDispSheetSimulationModelIncl</t>
  </si>
  <si>
    <t>zKDDispSheetSimulationModelTL</t>
  </si>
  <si>
    <t>zKDDispSheetSimulationModelBR</t>
  </si>
  <si>
    <t>zKDDispSheetSimulationModelSynch</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</si>
</sst>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000"/>
    <numFmt numFmtId="167" formatCode="&quot;$&quot;#,##0.0000"/>
    <numFmt numFmtId="168" formatCode="&quot;$&quot;#,##0.0000_);\(&quot;$&quot;#,##0.0000\)"/>
    <numFmt numFmtId="169" formatCode="#,##0.0"/>
    <numFmt numFmtId="170" formatCode="#,##0.000"/>
    <numFmt numFmtId="171" formatCode="#,##0.00000"/>
    <numFmt numFmtId="172" formatCode="#,##0.000000"/>
    <numFmt numFmtId="173" formatCode="#,##0.0000000"/>
    <numFmt numFmtId="174" formatCode="#,##0.00000000"/>
    <numFmt numFmtId="175" formatCode="_(* #,##0.0_);_(* \(#,##0.0\);_(* &quot;-&quot;??_);_(@_)"/>
    <numFmt numFmtId="176" formatCode="_(* #,##0_);_(* \(#,##0\);_(* &quot;-&quot;??_);_(@_)"/>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yyyy"/>
    <numFmt numFmtId="192" formatCode="0.0"/>
    <numFmt numFmtId="193" formatCode="0.00000"/>
    <numFmt numFmtId="194" formatCode="0.0000"/>
    <numFmt numFmtId="195" formatCode="0.000"/>
    <numFmt numFmtId="196" formatCode="0.0%"/>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_(&quot;$&quot;* #,##0.000_);_(&quot;$&quot;* \(#,##0.000\);_(&quot;$&quot;* &quot;-&quot;??_);_(@_)"/>
    <numFmt numFmtId="203" formatCode="0.000000E+00"/>
    <numFmt numFmtId="204" formatCode="0.0000000E+00"/>
    <numFmt numFmtId="205" formatCode="0.00000E+00"/>
    <numFmt numFmtId="206" formatCode="0.0000E+00"/>
    <numFmt numFmtId="207" formatCode="0.000E+00"/>
    <numFmt numFmtId="208" formatCode="0.0E+00"/>
    <numFmt numFmtId="209" formatCode="0E+00"/>
    <numFmt numFmtId="210" formatCode="0.00000000"/>
    <numFmt numFmtId="211" formatCode="0.0000000"/>
    <numFmt numFmtId="212" formatCode="0.000000"/>
    <numFmt numFmtId="213" formatCode="_(&quot;$&quot;* #,##0.0_);_(&quot;$&quot;* \(#,##0.0\);_(&quot;$&quot;* &quot;-&quot;??_);_(@_)"/>
    <numFmt numFmtId="214" formatCode="_(&quot;$&quot;* #,##0_);_(&quot;$&quot;* \(#,##0\);_(&quot;$&quot;* &quot;-&quot;??_);_(@_)"/>
    <numFmt numFmtId="215" formatCode="&quot;Yes&quot;;&quot;Yes&quot;;&quot;No&quot;"/>
    <numFmt numFmtId="216" formatCode="&quot;True&quot;;&quot;True&quot;;&quot;False&quot;"/>
    <numFmt numFmtId="217" formatCode="&quot;On&quot;;&quot;On&quot;;&quot;Off&quot;"/>
    <numFmt numFmtId="218" formatCode="&quot;$&quot;#,##0.0"/>
    <numFmt numFmtId="219" formatCode="_(&quot;$&quot;* #,##0.0000_);_(&quot;$&quot;* \(#,##0.0000\);_(&quot;$&quot;* &quot;-&quot;??_);_(@_)"/>
  </numFmts>
  <fonts count="47">
    <font>
      <sz val="10"/>
      <name val="Arial"/>
      <family val="0"/>
    </font>
    <font>
      <b/>
      <sz val="12"/>
      <color indexed="12"/>
      <name val="Arial"/>
      <family val="2"/>
    </font>
    <font>
      <u val="single"/>
      <sz val="10"/>
      <color indexed="12"/>
      <name val="Arial"/>
      <family val="0"/>
    </font>
    <font>
      <u val="single"/>
      <sz val="10"/>
      <color indexed="36"/>
      <name val="Arial"/>
      <family val="0"/>
    </font>
    <font>
      <b/>
      <sz val="10"/>
      <name val="Arial"/>
      <family val="2"/>
    </font>
    <font>
      <sz val="10"/>
      <color indexed="8"/>
      <name val="Arial"/>
      <family val="2"/>
    </font>
    <font>
      <b/>
      <sz val="10"/>
      <color indexed="52"/>
      <name val="Arial"/>
      <family val="2"/>
    </font>
    <font>
      <b/>
      <sz val="8"/>
      <name val="Arial"/>
      <family val="0"/>
    </font>
    <font>
      <sz val="8.5"/>
      <name val="Arial"/>
      <family val="0"/>
    </font>
    <font>
      <sz val="8"/>
      <name val="Arial"/>
      <family val="0"/>
    </font>
    <font>
      <b/>
      <sz val="10"/>
      <color indexed="8"/>
      <name val="Arial"/>
      <family val="2"/>
    </font>
    <font>
      <sz val="10"/>
      <color indexed="10"/>
      <name val="Arial"/>
      <family val="2"/>
    </font>
    <font>
      <b/>
      <sz val="10"/>
      <color indexed="43"/>
      <name val="Arial"/>
      <family val="2"/>
    </font>
    <font>
      <b/>
      <sz val="16"/>
      <name val="Arial"/>
      <family val="2"/>
    </font>
    <font>
      <b/>
      <sz val="18"/>
      <color indexed="18"/>
      <name val="Arial"/>
      <family val="2"/>
    </font>
    <font>
      <sz val="8"/>
      <color indexed="18"/>
      <name val="Arial"/>
      <family val="2"/>
    </font>
    <font>
      <b/>
      <sz val="16"/>
      <color indexed="62"/>
      <name val="Arial"/>
      <family val="2"/>
    </font>
    <font>
      <b/>
      <sz val="16"/>
      <color indexed="12"/>
      <name val="Arial"/>
      <family val="2"/>
    </font>
    <font>
      <b/>
      <sz val="10"/>
      <color indexed="62"/>
      <name val="Arial"/>
      <family val="2"/>
    </font>
    <font>
      <sz val="8"/>
      <name val="Tahoma"/>
      <family val="0"/>
    </font>
    <font>
      <b/>
      <sz val="8"/>
      <name val="Tahoma"/>
      <family val="0"/>
    </font>
    <font>
      <sz val="4.5"/>
      <name val="Arial"/>
      <family val="0"/>
    </font>
    <font>
      <b/>
      <sz val="3.75"/>
      <name val="Arial"/>
      <family val="0"/>
    </font>
    <font>
      <b/>
      <sz val="10"/>
      <color indexed="9"/>
      <name val="Arial"/>
      <family val="2"/>
    </font>
    <font>
      <b/>
      <sz val="12"/>
      <color indexed="47"/>
      <name val="Arial"/>
      <family val="2"/>
    </font>
    <font>
      <sz val="11"/>
      <name val="Arial"/>
      <family val="2"/>
    </font>
    <font>
      <b/>
      <sz val="12"/>
      <name val="Arial"/>
      <family val="2"/>
    </font>
    <font>
      <b/>
      <sz val="10"/>
      <color indexed="47"/>
      <name val="Arial"/>
      <family val="2"/>
    </font>
    <font>
      <b/>
      <sz val="10"/>
      <color indexed="60"/>
      <name val="Arial"/>
      <family val="2"/>
    </font>
    <font>
      <sz val="10"/>
      <name val="Tahoma"/>
      <family val="2"/>
    </font>
    <font>
      <b/>
      <sz val="12"/>
      <color indexed="10"/>
      <name val="Arial"/>
      <family val="2"/>
    </font>
    <font>
      <b/>
      <sz val="9"/>
      <name val="Arial"/>
      <family val="2"/>
    </font>
    <font>
      <b/>
      <sz val="12"/>
      <color indexed="8"/>
      <name val="Arial"/>
      <family val="2"/>
    </font>
    <font>
      <sz val="10"/>
      <color indexed="9"/>
      <name val="Arial"/>
      <family val="2"/>
    </font>
    <font>
      <sz val="12"/>
      <name val="Arial"/>
      <family val="2"/>
    </font>
    <font>
      <b/>
      <sz val="12"/>
      <color indexed="18"/>
      <name val="Arial"/>
      <family val="2"/>
    </font>
    <font>
      <b/>
      <sz val="10"/>
      <color indexed="10"/>
      <name val="Arial"/>
      <family val="2"/>
    </font>
    <font>
      <b/>
      <sz val="12"/>
      <color indexed="16"/>
      <name val="Arial"/>
      <family val="2"/>
    </font>
    <font>
      <u val="single"/>
      <sz val="12"/>
      <color indexed="9"/>
      <name val="Arial"/>
      <family val="2"/>
    </font>
    <font>
      <b/>
      <sz val="14"/>
      <color indexed="17"/>
      <name val="Arial"/>
      <family val="2"/>
    </font>
    <font>
      <b/>
      <sz val="14"/>
      <color indexed="16"/>
      <name val="Arial"/>
      <family val="2"/>
    </font>
    <font>
      <b/>
      <sz val="10"/>
      <color indexed="18"/>
      <name val="Arial"/>
      <family val="2"/>
    </font>
    <font>
      <b/>
      <sz val="14"/>
      <color indexed="43"/>
      <name val="Arial"/>
      <family val="2"/>
    </font>
    <font>
      <sz val="4.75"/>
      <name val="Arial"/>
      <family val="0"/>
    </font>
    <font>
      <sz val="5"/>
      <name val="Arial"/>
      <family val="0"/>
    </font>
    <font>
      <b/>
      <sz val="4.5"/>
      <name val="Arial"/>
      <family val="0"/>
    </font>
    <font>
      <b/>
      <u val="single"/>
      <sz val="10"/>
      <color indexed="9"/>
      <name val="Arial"/>
      <family val="2"/>
    </font>
  </fonts>
  <fills count="23">
    <fill>
      <patternFill/>
    </fill>
    <fill>
      <patternFill patternType="gray125"/>
    </fill>
    <fill>
      <patternFill patternType="solid">
        <fgColor indexed="46"/>
        <bgColor indexed="64"/>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
      <patternFill patternType="solid">
        <fgColor indexed="12"/>
        <bgColor indexed="64"/>
      </patternFill>
    </fill>
    <fill>
      <patternFill patternType="solid">
        <fgColor indexed="60"/>
        <bgColor indexed="64"/>
      </patternFill>
    </fill>
    <fill>
      <patternFill patternType="solid">
        <fgColor indexed="62"/>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63"/>
        <bgColor indexed="64"/>
      </patternFill>
    </fill>
    <fill>
      <patternFill patternType="solid">
        <fgColor indexed="43"/>
        <bgColor indexed="64"/>
      </patternFill>
    </fill>
    <fill>
      <patternFill patternType="solid">
        <fgColor indexed="41"/>
        <bgColor indexed="64"/>
      </patternFill>
    </fill>
    <fill>
      <patternFill patternType="solid">
        <fgColor indexed="16"/>
        <bgColor indexed="64"/>
      </patternFill>
    </fill>
    <fill>
      <patternFill patternType="solid">
        <fgColor indexed="18"/>
        <bgColor indexed="64"/>
      </patternFill>
    </fill>
    <fill>
      <patternFill patternType="solid">
        <fgColor indexed="13"/>
        <bgColor indexed="64"/>
      </patternFill>
    </fill>
    <fill>
      <patternFill patternType="solid">
        <fgColor indexed="51"/>
        <bgColor indexed="64"/>
      </patternFill>
    </fill>
    <fill>
      <patternFill patternType="solid">
        <fgColor indexed="23"/>
        <bgColor indexed="64"/>
      </patternFill>
    </fill>
    <fill>
      <patternFill patternType="solid">
        <fgColor indexed="48"/>
        <bgColor indexed="64"/>
      </patternFill>
    </fill>
    <fill>
      <patternFill patternType="solid">
        <fgColor indexed="8"/>
        <bgColor indexed="64"/>
      </patternFill>
    </fill>
    <fill>
      <patternFill patternType="solid">
        <fgColor indexed="20"/>
        <bgColor indexed="64"/>
      </patternFill>
    </fill>
  </fills>
  <borders count="76">
    <border>
      <left/>
      <right/>
      <top/>
      <bottom/>
      <diagonal/>
    </border>
    <border>
      <left style="thin"/>
      <right style="thin"/>
      <top style="thin"/>
      <bottom style="thin"/>
    </border>
    <border>
      <left>
        <color indexed="63"/>
      </left>
      <right>
        <color indexed="63"/>
      </right>
      <top style="medium"/>
      <bottom>
        <color indexed="63"/>
      </bottom>
    </border>
    <border>
      <left style="thin"/>
      <right style="thin"/>
      <top style="thin"/>
      <bottom>
        <color indexed="63"/>
      </bottom>
    </border>
    <border>
      <left style="thick">
        <color indexed="18"/>
      </left>
      <right>
        <color indexed="63"/>
      </right>
      <top style="thick">
        <color indexed="18"/>
      </top>
      <bottom>
        <color indexed="63"/>
      </bottom>
    </border>
    <border>
      <left>
        <color indexed="63"/>
      </left>
      <right>
        <color indexed="63"/>
      </right>
      <top style="thick">
        <color indexed="18"/>
      </top>
      <bottom>
        <color indexed="63"/>
      </bottom>
    </border>
    <border>
      <left>
        <color indexed="63"/>
      </left>
      <right style="thick">
        <color indexed="18"/>
      </right>
      <top style="thick">
        <color indexed="18"/>
      </top>
      <bottom>
        <color indexed="63"/>
      </bottom>
    </border>
    <border>
      <left style="thick">
        <color indexed="18"/>
      </left>
      <right>
        <color indexed="63"/>
      </right>
      <top>
        <color indexed="63"/>
      </top>
      <bottom>
        <color indexed="63"/>
      </bottom>
    </border>
    <border>
      <left>
        <color indexed="63"/>
      </left>
      <right style="thick">
        <color indexed="18"/>
      </right>
      <top>
        <color indexed="63"/>
      </top>
      <bottom>
        <color indexed="63"/>
      </bottom>
    </border>
    <border>
      <left style="thick">
        <color indexed="18"/>
      </left>
      <right>
        <color indexed="63"/>
      </right>
      <top>
        <color indexed="63"/>
      </top>
      <bottom style="thick">
        <color indexed="18"/>
      </bottom>
    </border>
    <border>
      <left>
        <color indexed="63"/>
      </left>
      <right>
        <color indexed="63"/>
      </right>
      <top>
        <color indexed="63"/>
      </top>
      <bottom style="thick">
        <color indexed="18"/>
      </bottom>
    </border>
    <border>
      <left>
        <color indexed="63"/>
      </left>
      <right style="thick">
        <color indexed="18"/>
      </right>
      <top>
        <color indexed="63"/>
      </top>
      <bottom style="thick">
        <color indexed="1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8"/>
      </left>
      <right style="medium">
        <color indexed="18"/>
      </right>
      <top style="medium">
        <color indexed="18"/>
      </top>
      <bottom style="medium">
        <color indexed="18"/>
      </bottom>
    </border>
    <border>
      <left>
        <color indexed="63"/>
      </left>
      <right>
        <color indexed="63"/>
      </right>
      <top style="double">
        <color indexed="18"/>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color indexed="16"/>
      </left>
      <right>
        <color indexed="63"/>
      </right>
      <top style="medium">
        <color indexed="16"/>
      </top>
      <bottom>
        <color indexed="63"/>
      </bottom>
    </border>
    <border>
      <left>
        <color indexed="63"/>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color indexed="63"/>
      </bottom>
    </border>
    <border>
      <left>
        <color indexed="63"/>
      </left>
      <right style="medium">
        <color indexed="16"/>
      </right>
      <top>
        <color indexed="63"/>
      </top>
      <bottom>
        <color indexed="63"/>
      </bottom>
    </border>
    <border>
      <left style="medium">
        <color indexed="16"/>
      </left>
      <right>
        <color indexed="63"/>
      </right>
      <top>
        <color indexed="63"/>
      </top>
      <bottom style="medium">
        <color indexed="16"/>
      </bottom>
    </border>
    <border>
      <left>
        <color indexed="63"/>
      </left>
      <right>
        <color indexed="63"/>
      </right>
      <top>
        <color indexed="63"/>
      </top>
      <bottom style="medium">
        <color indexed="16"/>
      </bottom>
    </border>
    <border>
      <left>
        <color indexed="63"/>
      </left>
      <right style="medium">
        <color indexed="16"/>
      </right>
      <top>
        <color indexed="63"/>
      </top>
      <bottom style="medium">
        <color indexed="16"/>
      </bottom>
    </border>
    <border>
      <left style="medium"/>
      <right style="thin"/>
      <top style="thin"/>
      <bottom style="medium"/>
    </border>
    <border>
      <left style="medium">
        <color indexed="18"/>
      </left>
      <right>
        <color indexed="63"/>
      </right>
      <top style="medium">
        <color indexed="18"/>
      </top>
      <bottom>
        <color indexed="63"/>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style="medium">
        <color indexed="18"/>
      </left>
      <right>
        <color indexed="63"/>
      </right>
      <top>
        <color indexed="63"/>
      </top>
      <bottom>
        <color indexed="63"/>
      </bottom>
    </border>
    <border>
      <left>
        <color indexed="63"/>
      </left>
      <right style="medium">
        <color indexed="18"/>
      </right>
      <top>
        <color indexed="63"/>
      </top>
      <bottom>
        <color indexed="63"/>
      </bottom>
    </border>
    <border>
      <left style="medium">
        <color indexed="18"/>
      </left>
      <right>
        <color indexed="63"/>
      </right>
      <top>
        <color indexed="63"/>
      </top>
      <bottom style="medium">
        <color indexed="18"/>
      </bottom>
    </border>
    <border>
      <left>
        <color indexed="63"/>
      </left>
      <right>
        <color indexed="63"/>
      </right>
      <top>
        <color indexed="63"/>
      </top>
      <bottom style="medium">
        <color indexed="18"/>
      </bottom>
    </border>
    <border>
      <left>
        <color indexed="63"/>
      </left>
      <right style="medium">
        <color indexed="18"/>
      </right>
      <top>
        <color indexed="63"/>
      </top>
      <bottom style="medium">
        <color indexed="18"/>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color indexed="43"/>
      </left>
      <right>
        <color indexed="63"/>
      </right>
      <top style="thin">
        <color indexed="43"/>
      </top>
      <bottom style="thin">
        <color indexed="43"/>
      </bottom>
    </border>
    <border>
      <left>
        <color indexed="63"/>
      </left>
      <right>
        <color indexed="63"/>
      </right>
      <top style="thin">
        <color indexed="43"/>
      </top>
      <bottom style="thin">
        <color indexed="43"/>
      </bottom>
    </border>
    <border>
      <left>
        <color indexed="63"/>
      </left>
      <right style="thin">
        <color indexed="43"/>
      </right>
      <top style="thin">
        <color indexed="43"/>
      </top>
      <bottom style="thin">
        <color indexed="43"/>
      </bottom>
    </border>
    <border>
      <left>
        <color indexed="63"/>
      </left>
      <right style="medium"/>
      <top style="thin"/>
      <bottom>
        <color indexed="63"/>
      </bottom>
    </border>
    <border>
      <left style="medium">
        <color indexed="17"/>
      </left>
      <right>
        <color indexed="63"/>
      </right>
      <top style="medium">
        <color indexed="17"/>
      </top>
      <bottom style="medium">
        <color indexed="17"/>
      </bottom>
    </border>
    <border>
      <left>
        <color indexed="63"/>
      </left>
      <right>
        <color indexed="63"/>
      </right>
      <top style="medium">
        <color indexed="17"/>
      </top>
      <bottom style="medium">
        <color indexed="17"/>
      </bottom>
    </border>
    <border>
      <left>
        <color indexed="63"/>
      </left>
      <right style="medium">
        <color indexed="17"/>
      </right>
      <top style="medium">
        <color indexed="17"/>
      </top>
      <bottom style="medium">
        <color indexed="17"/>
      </bottom>
    </border>
    <border>
      <left style="medium">
        <color indexed="16"/>
      </left>
      <right style="thin"/>
      <top style="medium">
        <color indexed="16"/>
      </top>
      <bottom style="medium">
        <color indexed="16"/>
      </bottom>
    </border>
    <border>
      <left>
        <color indexed="63"/>
      </left>
      <right style="thin"/>
      <top style="medium">
        <color indexed="16"/>
      </top>
      <bottom style="medium">
        <color indexed="16"/>
      </bottom>
    </border>
    <border>
      <left style="thin"/>
      <right style="thin"/>
      <top style="medium">
        <color indexed="16"/>
      </top>
      <bottom style="medium">
        <color indexed="16"/>
      </bottom>
    </border>
    <border>
      <left style="thin"/>
      <right style="medium">
        <color indexed="16"/>
      </right>
      <top style="medium">
        <color indexed="16"/>
      </top>
      <bottom style="medium">
        <color indexed="16"/>
      </bottom>
    </border>
    <border>
      <left>
        <color indexed="63"/>
      </left>
      <right>
        <color indexed="63"/>
      </right>
      <top>
        <color indexed="63"/>
      </top>
      <bottom style="thin"/>
    </border>
    <border>
      <left>
        <color indexed="63"/>
      </left>
      <right style="thin"/>
      <top style="medium"/>
      <bottom style="medium"/>
    </border>
    <border>
      <left style="medium"/>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4">
    <xf numFmtId="0" fontId="0" fillId="0" borderId="0" xfId="0" applyAlignment="1">
      <alignment/>
    </xf>
    <xf numFmtId="0" fontId="0" fillId="2" borderId="1" xfId="0" applyFill="1" applyBorder="1" applyAlignment="1">
      <alignment/>
    </xf>
    <xf numFmtId="3" fontId="5" fillId="3" borderId="1" xfId="0" applyNumberFormat="1" applyFont="1" applyFill="1" applyBorder="1" applyAlignment="1">
      <alignment horizontal="center"/>
    </xf>
    <xf numFmtId="3" fontId="5"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0" fillId="0" borderId="0" xfId="0" applyFill="1" applyAlignment="1">
      <alignment/>
    </xf>
    <xf numFmtId="0" fontId="0" fillId="0" borderId="0" xfId="0" applyFill="1" applyBorder="1" applyAlignment="1">
      <alignment/>
    </xf>
    <xf numFmtId="3" fontId="0" fillId="0" borderId="0" xfId="0" applyNumberFormat="1" applyFill="1" applyBorder="1" applyAlignment="1">
      <alignment/>
    </xf>
    <xf numFmtId="0" fontId="0" fillId="0" borderId="0" xfId="0" applyBorder="1" applyAlignment="1">
      <alignment/>
    </xf>
    <xf numFmtId="0" fontId="0" fillId="0" borderId="2" xfId="0" applyBorder="1" applyAlignment="1">
      <alignment/>
    </xf>
    <xf numFmtId="3" fontId="0" fillId="0" borderId="0" xfId="0" applyNumberFormat="1" applyBorder="1" applyAlignment="1">
      <alignment/>
    </xf>
    <xf numFmtId="0" fontId="0" fillId="2" borderId="1" xfId="0" applyFill="1" applyBorder="1" applyAlignment="1">
      <alignment horizontal="center"/>
    </xf>
    <xf numFmtId="3" fontId="0" fillId="2" borderId="1" xfId="0" applyNumberFormat="1" applyFill="1" applyBorder="1" applyAlignment="1">
      <alignment horizontal="center"/>
    </xf>
    <xf numFmtId="0" fontId="0" fillId="0" borderId="0" xfId="0" applyFill="1" applyBorder="1" applyAlignment="1">
      <alignment horizontal="center"/>
    </xf>
    <xf numFmtId="0" fontId="0" fillId="2" borderId="3" xfId="0" applyFill="1" applyBorder="1" applyAlignment="1">
      <alignment horizontal="center"/>
    </xf>
    <xf numFmtId="0" fontId="0" fillId="4" borderId="4"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0" xfId="0" applyFill="1" applyBorder="1" applyAlignment="1">
      <alignment/>
    </xf>
    <xf numFmtId="0" fontId="0" fillId="4" borderId="8" xfId="0" applyFill="1" applyBorder="1" applyAlignment="1">
      <alignment/>
    </xf>
    <xf numFmtId="0" fontId="0" fillId="4" borderId="9" xfId="0" applyFill="1" applyBorder="1" applyAlignment="1">
      <alignment/>
    </xf>
    <xf numFmtId="0" fontId="0" fillId="4" borderId="10" xfId="0" applyFill="1" applyBorder="1" applyAlignment="1">
      <alignment/>
    </xf>
    <xf numFmtId="0" fontId="0" fillId="4" borderId="11" xfId="0" applyFill="1" applyBorder="1" applyAlignment="1">
      <alignment/>
    </xf>
    <xf numFmtId="0" fontId="4" fillId="4" borderId="0" xfId="0" applyFont="1" applyFill="1" applyBorder="1" applyAlignment="1">
      <alignment/>
    </xf>
    <xf numFmtId="0" fontId="0" fillId="5" borderId="12" xfId="0" applyFill="1" applyBorder="1" applyAlignment="1">
      <alignment/>
    </xf>
    <xf numFmtId="0" fontId="0" fillId="5" borderId="2" xfId="0" applyFill="1" applyBorder="1" applyAlignment="1">
      <alignment/>
    </xf>
    <xf numFmtId="0" fontId="0" fillId="5" borderId="13" xfId="0" applyFill="1" applyBorder="1" applyAlignment="1">
      <alignment/>
    </xf>
    <xf numFmtId="0" fontId="0" fillId="5" borderId="14" xfId="0" applyFill="1" applyBorder="1" applyAlignment="1">
      <alignment/>
    </xf>
    <xf numFmtId="0" fontId="0" fillId="5" borderId="0" xfId="0" applyFill="1" applyBorder="1" applyAlignment="1">
      <alignment/>
    </xf>
    <xf numFmtId="0" fontId="0" fillId="5" borderId="15"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18" xfId="0" applyFill="1" applyBorder="1" applyAlignment="1">
      <alignment/>
    </xf>
    <xf numFmtId="3" fontId="6" fillId="0" borderId="0" xfId="0" applyNumberFormat="1" applyFont="1" applyFill="1" applyBorder="1" applyAlignment="1">
      <alignment horizontal="center"/>
    </xf>
    <xf numFmtId="0" fontId="18" fillId="5" borderId="0" xfId="0" applyFont="1" applyFill="1" applyBorder="1" applyAlignment="1">
      <alignment/>
    </xf>
    <xf numFmtId="0" fontId="11" fillId="5" borderId="0" xfId="0" applyFont="1" applyFill="1" applyBorder="1" applyAlignment="1">
      <alignment/>
    </xf>
    <xf numFmtId="0" fontId="18" fillId="5" borderId="0" xfId="0" applyFont="1" applyFill="1" applyBorder="1" applyAlignment="1">
      <alignment horizontal="center" vertical="center"/>
    </xf>
    <xf numFmtId="0" fontId="18" fillId="4" borderId="5" xfId="0" applyFont="1" applyFill="1" applyBorder="1" applyAlignment="1">
      <alignment horizontal="center" vertical="center"/>
    </xf>
    <xf numFmtId="0" fontId="7" fillId="4" borderId="7" xfId="0" applyFont="1" applyFill="1" applyBorder="1" applyAlignment="1">
      <alignment horizontal="center"/>
    </xf>
    <xf numFmtId="0" fontId="7" fillId="4" borderId="0" xfId="0" applyFont="1" applyFill="1" applyBorder="1" applyAlignment="1">
      <alignment horizontal="center"/>
    </xf>
    <xf numFmtId="0" fontId="7" fillId="4" borderId="8" xfId="0" applyFont="1" applyFill="1" applyBorder="1" applyAlignment="1">
      <alignment horizontal="center"/>
    </xf>
    <xf numFmtId="0" fontId="7" fillId="4" borderId="0" xfId="0" applyFont="1" applyFill="1" applyBorder="1" applyAlignment="1">
      <alignment/>
    </xf>
    <xf numFmtId="165" fontId="7" fillId="5" borderId="19" xfId="17" applyNumberFormat="1" applyFont="1" applyFill="1" applyBorder="1" applyAlignment="1">
      <alignment horizontal="right"/>
    </xf>
    <xf numFmtId="0" fontId="7" fillId="4" borderId="0" xfId="0" applyFont="1" applyFill="1" applyBorder="1" applyAlignment="1" quotePrefix="1">
      <alignment/>
    </xf>
    <xf numFmtId="3" fontId="7" fillId="5" borderId="19" xfId="0" applyNumberFormat="1" applyFont="1" applyFill="1" applyBorder="1" applyAlignment="1">
      <alignment horizontal="right"/>
    </xf>
    <xf numFmtId="0" fontId="9" fillId="4" borderId="0" xfId="0" applyFont="1" applyFill="1" applyBorder="1" applyAlignment="1">
      <alignment/>
    </xf>
    <xf numFmtId="165" fontId="7" fillId="5" borderId="19" xfId="0" applyNumberFormat="1" applyFont="1" applyFill="1" applyBorder="1" applyAlignment="1">
      <alignment horizontal="right"/>
    </xf>
    <xf numFmtId="2" fontId="7" fillId="5" borderId="19" xfId="0" applyNumberFormat="1" applyFont="1" applyFill="1" applyBorder="1" applyAlignment="1">
      <alignment horizontal="right"/>
    </xf>
    <xf numFmtId="0" fontId="7" fillId="4" borderId="5" xfId="0" applyFont="1" applyFill="1" applyBorder="1" applyAlignment="1" quotePrefix="1">
      <alignment/>
    </xf>
    <xf numFmtId="5" fontId="7" fillId="5" borderId="19" xfId="17" applyNumberFormat="1" applyFont="1" applyFill="1" applyBorder="1" applyAlignment="1">
      <alignment horizontal="right"/>
    </xf>
    <xf numFmtId="0" fontId="0" fillId="4" borderId="20" xfId="0" applyFill="1" applyBorder="1" applyAlignment="1">
      <alignment/>
    </xf>
    <xf numFmtId="0" fontId="0" fillId="4" borderId="0" xfId="0" applyFill="1" applyBorder="1" applyAlignment="1">
      <alignment/>
    </xf>
    <xf numFmtId="0" fontId="7" fillId="5" borderId="0" xfId="0" applyFont="1" applyFill="1" applyBorder="1" applyAlignment="1">
      <alignment horizontal="right"/>
    </xf>
    <xf numFmtId="0" fontId="9" fillId="4" borderId="0" xfId="0" applyFont="1" applyFill="1" applyBorder="1" applyAlignment="1">
      <alignment horizontal="center"/>
    </xf>
    <xf numFmtId="0" fontId="9" fillId="4" borderId="8" xfId="0" applyFont="1" applyFill="1" applyBorder="1" applyAlignment="1">
      <alignment horizontal="center"/>
    </xf>
    <xf numFmtId="3" fontId="7" fillId="4" borderId="0" xfId="0" applyNumberFormat="1" applyFont="1" applyFill="1" applyBorder="1" applyAlignment="1">
      <alignment horizontal="center"/>
    </xf>
    <xf numFmtId="9" fontId="7" fillId="4" borderId="0" xfId="0" applyNumberFormat="1" applyFont="1" applyFill="1" applyBorder="1" applyAlignment="1">
      <alignment horizontal="center"/>
    </xf>
    <xf numFmtId="0" fontId="0" fillId="0" borderId="0" xfId="0" applyAlignment="1">
      <alignment/>
    </xf>
    <xf numFmtId="0" fontId="2" fillId="0" borderId="0" xfId="20" applyAlignment="1">
      <alignment/>
    </xf>
    <xf numFmtId="0" fontId="26" fillId="0" borderId="0" xfId="0" applyFont="1" applyAlignment="1">
      <alignment/>
    </xf>
    <xf numFmtId="0" fontId="0" fillId="6" borderId="0" xfId="0" applyFill="1" applyAlignment="1">
      <alignment/>
    </xf>
    <xf numFmtId="0" fontId="23" fillId="7" borderId="0" xfId="0" applyFont="1" applyFill="1" applyAlignment="1">
      <alignment/>
    </xf>
    <xf numFmtId="0" fontId="23" fillId="8" borderId="0" xfId="0" applyFont="1" applyFill="1" applyAlignment="1">
      <alignment/>
    </xf>
    <xf numFmtId="0" fontId="0" fillId="8" borderId="0" xfId="0" applyFill="1" applyAlignment="1">
      <alignment/>
    </xf>
    <xf numFmtId="0" fontId="0" fillId="4" borderId="1" xfId="0" applyFill="1" applyBorder="1" applyAlignment="1">
      <alignment/>
    </xf>
    <xf numFmtId="0" fontId="0" fillId="9" borderId="1" xfId="0" applyFill="1" applyBorder="1" applyAlignment="1">
      <alignment/>
    </xf>
    <xf numFmtId="0" fontId="0" fillId="4" borderId="21" xfId="0" applyFill="1" applyBorder="1" applyAlignment="1">
      <alignment/>
    </xf>
    <xf numFmtId="0" fontId="4" fillId="4" borderId="1" xfId="0" applyFont="1" applyFill="1" applyBorder="1" applyAlignment="1">
      <alignment/>
    </xf>
    <xf numFmtId="0" fontId="0" fillId="2" borderId="1" xfId="0" applyFill="1" applyBorder="1" applyAlignment="1" quotePrefix="1">
      <alignment/>
    </xf>
    <xf numFmtId="0" fontId="0" fillId="10" borderId="21" xfId="0" applyFill="1" applyBorder="1" applyAlignment="1">
      <alignment horizontal="center"/>
    </xf>
    <xf numFmtId="0" fontId="0" fillId="10" borderId="1" xfId="0" applyFill="1" applyBorder="1" applyAlignment="1">
      <alignment horizontal="center"/>
    </xf>
    <xf numFmtId="0" fontId="4" fillId="11" borderId="1" xfId="0" applyFont="1" applyFill="1" applyBorder="1" applyAlignment="1">
      <alignment/>
    </xf>
    <xf numFmtId="214" fontId="7" fillId="0" borderId="1" xfId="17" applyNumberFormat="1" applyFont="1" applyFill="1" applyBorder="1" applyAlignment="1">
      <alignment/>
    </xf>
    <xf numFmtId="214" fontId="0" fillId="10" borderId="1" xfId="17" applyNumberForma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xf>
    <xf numFmtId="214" fontId="0" fillId="11" borderId="1" xfId="17" applyNumberFormat="1" applyFill="1" applyBorder="1" applyAlignment="1">
      <alignment horizontal="center"/>
    </xf>
    <xf numFmtId="0" fontId="4" fillId="4" borderId="22" xfId="0" applyFont="1" applyFill="1" applyBorder="1" applyAlignment="1">
      <alignment/>
    </xf>
    <xf numFmtId="9" fontId="0" fillId="0" borderId="0" xfId="21" applyFont="1" applyFill="1" applyBorder="1" applyAlignment="1">
      <alignment horizontal="center"/>
    </xf>
    <xf numFmtId="9" fontId="0" fillId="0" borderId="0" xfId="21" applyFill="1" applyBorder="1" applyAlignment="1">
      <alignment horizontal="center"/>
    </xf>
    <xf numFmtId="0" fontId="23" fillId="12" borderId="0" xfId="0" applyFont="1" applyFill="1" applyAlignment="1">
      <alignment/>
    </xf>
    <xf numFmtId="0" fontId="0" fillId="9" borderId="21" xfId="0" applyFill="1" applyBorder="1" applyAlignment="1">
      <alignment horizontal="center"/>
    </xf>
    <xf numFmtId="0" fontId="23" fillId="6" borderId="0" xfId="0" applyFont="1" applyFill="1" applyAlignment="1">
      <alignment/>
    </xf>
    <xf numFmtId="9" fontId="0" fillId="9" borderId="1" xfId="21" applyFont="1" applyFill="1" applyBorder="1" applyAlignment="1">
      <alignment horizontal="center"/>
    </xf>
    <xf numFmtId="9" fontId="0" fillId="9" borderId="1" xfId="21" applyFill="1" applyBorder="1" applyAlignment="1">
      <alignment horizontal="center"/>
    </xf>
    <xf numFmtId="0" fontId="0" fillId="13" borderId="1" xfId="0" applyFill="1" applyBorder="1" applyAlignment="1">
      <alignment/>
    </xf>
    <xf numFmtId="0" fontId="0" fillId="7" borderId="0" xfId="0" applyFill="1" applyAlignment="1">
      <alignment/>
    </xf>
    <xf numFmtId="3" fontId="27" fillId="7" borderId="0" xfId="0" applyNumberFormat="1" applyFont="1" applyFill="1" applyBorder="1" applyAlignment="1">
      <alignment horizontal="left"/>
    </xf>
    <xf numFmtId="3" fontId="28" fillId="7" borderId="0" xfId="0" applyNumberFormat="1" applyFont="1" applyFill="1" applyBorder="1" applyAlignment="1">
      <alignment horizontal="center"/>
    </xf>
    <xf numFmtId="3" fontId="6" fillId="7" borderId="0" xfId="0" applyNumberFormat="1" applyFont="1" applyFill="1" applyBorder="1" applyAlignment="1">
      <alignment horizontal="center"/>
    </xf>
    <xf numFmtId="3" fontId="4" fillId="4" borderId="22" xfId="0" applyNumberFormat="1" applyFont="1" applyFill="1" applyBorder="1" applyAlignment="1">
      <alignment horizontal="left"/>
    </xf>
    <xf numFmtId="3" fontId="4" fillId="4" borderId="23" xfId="0" applyNumberFormat="1" applyFont="1" applyFill="1" applyBorder="1" applyAlignment="1">
      <alignment horizontal="center"/>
    </xf>
    <xf numFmtId="3" fontId="4" fillId="4" borderId="24" xfId="0" applyNumberFormat="1" applyFont="1" applyFill="1" applyBorder="1" applyAlignment="1">
      <alignment horizontal="center"/>
    </xf>
    <xf numFmtId="3" fontId="4" fillId="4" borderId="22" xfId="0" applyNumberFormat="1" applyFont="1" applyFill="1" applyBorder="1" applyAlignment="1">
      <alignment horizontal="center"/>
    </xf>
    <xf numFmtId="3" fontId="0" fillId="4" borderId="24" xfId="0" applyNumberFormat="1" applyFill="1" applyBorder="1" applyAlignment="1">
      <alignment horizontal="center"/>
    </xf>
    <xf numFmtId="3" fontId="4" fillId="9" borderId="1" xfId="0" applyNumberFormat="1" applyFont="1" applyFill="1" applyBorder="1" applyAlignment="1">
      <alignment horizontal="center"/>
    </xf>
    <xf numFmtId="0" fontId="4" fillId="9" borderId="1" xfId="0" applyFont="1" applyFill="1" applyBorder="1" applyAlignment="1">
      <alignment horizontal="center"/>
    </xf>
    <xf numFmtId="3" fontId="5" fillId="2" borderId="1" xfId="0" applyNumberFormat="1" applyFont="1" applyFill="1" applyBorder="1" applyAlignment="1">
      <alignment horizontal="center"/>
    </xf>
    <xf numFmtId="3" fontId="0" fillId="4" borderId="23" xfId="0" applyNumberFormat="1" applyFill="1" applyBorder="1" applyAlignment="1">
      <alignment horizontal="center"/>
    </xf>
    <xf numFmtId="0" fontId="11" fillId="0" borderId="0" xfId="0" applyFont="1" applyAlignment="1">
      <alignment/>
    </xf>
    <xf numFmtId="3" fontId="4" fillId="11" borderId="25" xfId="0" applyNumberFormat="1" applyFont="1" applyFill="1" applyBorder="1" applyAlignment="1">
      <alignment horizontal="center"/>
    </xf>
    <xf numFmtId="0" fontId="0" fillId="11" borderId="26" xfId="0" applyFill="1" applyBorder="1" applyAlignment="1">
      <alignment/>
    </xf>
    <xf numFmtId="3" fontId="0" fillId="11" borderId="27" xfId="0" applyNumberFormat="1" applyFill="1" applyBorder="1" applyAlignment="1">
      <alignment horizontal="center"/>
    </xf>
    <xf numFmtId="0" fontId="0" fillId="11" borderId="28" xfId="0" applyFill="1" applyBorder="1" applyAlignment="1">
      <alignment/>
    </xf>
    <xf numFmtId="3" fontId="0" fillId="4" borderId="22" xfId="0" applyNumberFormat="1" applyFont="1" applyFill="1" applyBorder="1" applyAlignment="1">
      <alignment horizontal="left"/>
    </xf>
    <xf numFmtId="0" fontId="0" fillId="11" borderId="22" xfId="0" applyFill="1" applyBorder="1" applyAlignment="1">
      <alignment/>
    </xf>
    <xf numFmtId="0" fontId="0" fillId="11" borderId="24" xfId="0" applyFill="1" applyBorder="1" applyAlignment="1">
      <alignment/>
    </xf>
    <xf numFmtId="3" fontId="4" fillId="4" borderId="26" xfId="0" applyNumberFormat="1" applyFont="1" applyFill="1" applyBorder="1" applyAlignment="1">
      <alignment horizontal="center"/>
    </xf>
    <xf numFmtId="196" fontId="0" fillId="14" borderId="1" xfId="21" applyNumberFormat="1" applyFill="1" applyBorder="1" applyAlignment="1">
      <alignment/>
    </xf>
    <xf numFmtId="196" fontId="0" fillId="14" borderId="3" xfId="21" applyNumberFormat="1" applyFill="1" applyBorder="1" applyAlignment="1">
      <alignment/>
    </xf>
    <xf numFmtId="176" fontId="4" fillId="14" borderId="24" xfId="15" applyNumberFormat="1" applyFont="1" applyFill="1" applyBorder="1" applyAlignment="1">
      <alignment/>
    </xf>
    <xf numFmtId="0" fontId="27" fillId="15" borderId="0" xfId="0" applyFont="1" applyFill="1" applyAlignment="1">
      <alignment/>
    </xf>
    <xf numFmtId="3" fontId="23" fillId="7" borderId="0" xfId="0" applyNumberFormat="1" applyFont="1" applyFill="1" applyBorder="1" applyAlignment="1">
      <alignment horizontal="left"/>
    </xf>
    <xf numFmtId="176" fontId="0" fillId="13" borderId="1" xfId="15" applyNumberFormat="1" applyFill="1" applyBorder="1" applyAlignment="1">
      <alignment/>
    </xf>
    <xf numFmtId="0" fontId="0" fillId="11" borderId="1" xfId="0" applyFill="1" applyBorder="1" applyAlignment="1">
      <alignment/>
    </xf>
    <xf numFmtId="3" fontId="0" fillId="9" borderId="1" xfId="0" applyNumberFormat="1" applyFont="1" applyFill="1" applyBorder="1" applyAlignment="1">
      <alignment horizontal="center"/>
    </xf>
    <xf numFmtId="214" fontId="5" fillId="2" borderId="1" xfId="17" applyNumberFormat="1" applyFont="1" applyFill="1" applyBorder="1" applyAlignment="1">
      <alignment horizontal="center"/>
    </xf>
    <xf numFmtId="3" fontId="0" fillId="9" borderId="1" xfId="0" applyNumberFormat="1" applyFont="1" applyFill="1" applyBorder="1" applyAlignment="1" quotePrefix="1">
      <alignment horizontal="center"/>
    </xf>
    <xf numFmtId="214" fontId="0" fillId="14" borderId="1" xfId="17" applyNumberFormat="1" applyFill="1" applyBorder="1" applyAlignment="1">
      <alignment/>
    </xf>
    <xf numFmtId="44" fontId="0" fillId="13" borderId="1" xfId="17" applyFill="1" applyBorder="1" applyAlignment="1">
      <alignment/>
    </xf>
    <xf numFmtId="214" fontId="0" fillId="13" borderId="1" xfId="17" applyNumberFormat="1" applyFill="1" applyBorder="1" applyAlignment="1">
      <alignment/>
    </xf>
    <xf numFmtId="3" fontId="4" fillId="4" borderId="22" xfId="0" applyNumberFormat="1" applyFont="1" applyFill="1" applyBorder="1" applyAlignment="1">
      <alignment/>
    </xf>
    <xf numFmtId="3" fontId="0" fillId="0" borderId="0" xfId="0" applyNumberFormat="1" applyFont="1" applyFill="1" applyBorder="1" applyAlignment="1">
      <alignment horizontal="left"/>
    </xf>
    <xf numFmtId="9" fontId="0" fillId="0" borderId="0" xfId="21" applyFill="1" applyBorder="1" applyAlignment="1">
      <alignment/>
    </xf>
    <xf numFmtId="9" fontId="4" fillId="0" borderId="0" xfId="21" applyFont="1" applyFill="1" applyBorder="1" applyAlignment="1">
      <alignment/>
    </xf>
    <xf numFmtId="3" fontId="0" fillId="4" borderId="25" xfId="0" applyNumberFormat="1" applyFont="1" applyFill="1" applyBorder="1" applyAlignment="1">
      <alignment horizontal="left"/>
    </xf>
    <xf numFmtId="0" fontId="0" fillId="4" borderId="24" xfId="0" applyFill="1" applyBorder="1" applyAlignment="1">
      <alignment/>
    </xf>
    <xf numFmtId="214" fontId="4" fillId="14" borderId="24" xfId="17" applyNumberFormat="1" applyFont="1" applyFill="1" applyBorder="1" applyAlignment="1">
      <alignment/>
    </xf>
    <xf numFmtId="44" fontId="4" fillId="14" borderId="24" xfId="17" applyNumberFormat="1" applyFont="1" applyFill="1" applyBorder="1" applyAlignment="1">
      <alignment/>
    </xf>
    <xf numFmtId="3" fontId="6" fillId="7" borderId="0" xfId="0" applyNumberFormat="1" applyFont="1" applyFill="1" applyBorder="1" applyAlignment="1">
      <alignment horizontal="left"/>
    </xf>
    <xf numFmtId="3" fontId="0" fillId="4" borderId="1" xfId="0" applyNumberFormat="1" applyFill="1" applyBorder="1" applyAlignment="1">
      <alignment horizontal="center"/>
    </xf>
    <xf numFmtId="3" fontId="0" fillId="4" borderId="24" xfId="0" applyNumberFormat="1" applyFont="1" applyFill="1" applyBorder="1" applyAlignment="1">
      <alignment horizontal="center"/>
    </xf>
    <xf numFmtId="3" fontId="4" fillId="9" borderId="21" xfId="0" applyNumberFormat="1" applyFont="1" applyFill="1" applyBorder="1" applyAlignment="1">
      <alignment horizontal="center"/>
    </xf>
    <xf numFmtId="3" fontId="0" fillId="4" borderId="22" xfId="0" applyNumberFormat="1" applyFill="1" applyBorder="1" applyAlignment="1">
      <alignment/>
    </xf>
    <xf numFmtId="3" fontId="10" fillId="4" borderId="1" xfId="0" applyNumberFormat="1" applyFont="1" applyFill="1" applyBorder="1" applyAlignment="1">
      <alignment/>
    </xf>
    <xf numFmtId="44" fontId="10" fillId="14" borderId="1" xfId="17" applyFont="1" applyFill="1" applyBorder="1" applyAlignment="1">
      <alignment/>
    </xf>
    <xf numFmtId="44" fontId="0" fillId="14" borderId="1" xfId="17" applyFont="1" applyFill="1" applyBorder="1" applyAlignment="1">
      <alignment/>
    </xf>
    <xf numFmtId="0" fontId="27" fillId="0" borderId="0" xfId="0" applyFont="1" applyFill="1" applyAlignment="1">
      <alignment/>
    </xf>
    <xf numFmtId="214" fontId="0" fillId="14" borderId="1" xfId="17" applyNumberFormat="1" applyFont="1" applyFill="1" applyBorder="1" applyAlignment="1">
      <alignment/>
    </xf>
    <xf numFmtId="214" fontId="0" fillId="14" borderId="28" xfId="17" applyNumberFormat="1" applyFont="1" applyFill="1" applyBorder="1" applyAlignment="1">
      <alignment/>
    </xf>
    <xf numFmtId="3" fontId="27" fillId="0" borderId="0" xfId="0" applyNumberFormat="1" applyFont="1" applyFill="1" applyBorder="1" applyAlignment="1">
      <alignment horizontal="left"/>
    </xf>
    <xf numFmtId="214" fontId="0" fillId="2" borderId="1" xfId="17" applyNumberFormat="1" applyFill="1" applyBorder="1" applyAlignment="1">
      <alignment/>
    </xf>
    <xf numFmtId="0" fontId="0" fillId="9" borderId="21" xfId="0" applyFill="1" applyBorder="1" applyAlignment="1">
      <alignment/>
    </xf>
    <xf numFmtId="44" fontId="0" fillId="14" borderId="1" xfId="17" applyFill="1" applyBorder="1" applyAlignment="1">
      <alignment horizontal="center"/>
    </xf>
    <xf numFmtId="44" fontId="4" fillId="14" borderId="24" xfId="17" applyFont="1" applyFill="1" applyBorder="1" applyAlignment="1">
      <alignment horizontal="center"/>
    </xf>
    <xf numFmtId="0" fontId="0" fillId="11" borderId="3" xfId="0" applyFill="1" applyBorder="1" applyAlignment="1">
      <alignment/>
    </xf>
    <xf numFmtId="0" fontId="0" fillId="11" borderId="29" xfId="0" applyFill="1" applyBorder="1" applyAlignment="1">
      <alignment/>
    </xf>
    <xf numFmtId="0" fontId="0" fillId="11" borderId="21" xfId="0" applyFill="1" applyBorder="1" applyAlignment="1">
      <alignment/>
    </xf>
    <xf numFmtId="43" fontId="4" fillId="14" borderId="24" xfId="15" applyFont="1" applyFill="1" applyBorder="1" applyAlignment="1">
      <alignment horizontal="center"/>
    </xf>
    <xf numFmtId="0" fontId="30" fillId="0" borderId="0" xfId="0" applyFont="1" applyAlignment="1">
      <alignment/>
    </xf>
    <xf numFmtId="0" fontId="1" fillId="0" borderId="0" xfId="0" applyFont="1" applyFill="1" applyBorder="1" applyAlignment="1">
      <alignment/>
    </xf>
    <xf numFmtId="43" fontId="0" fillId="0" borderId="0" xfId="0" applyNumberFormat="1" applyFill="1" applyBorder="1" applyAlignment="1">
      <alignment/>
    </xf>
    <xf numFmtId="176" fontId="0" fillId="0" borderId="0" xfId="15" applyNumberFormat="1" applyFont="1" applyFill="1" applyBorder="1" applyAlignment="1">
      <alignment/>
    </xf>
    <xf numFmtId="176" fontId="0" fillId="0" borderId="0" xfId="0" applyNumberFormat="1" applyFill="1" applyBorder="1" applyAlignment="1">
      <alignment/>
    </xf>
    <xf numFmtId="3" fontId="26" fillId="0" borderId="0" xfId="0" applyNumberFormat="1" applyFont="1" applyFill="1" applyBorder="1" applyAlignment="1">
      <alignment horizontal="center"/>
    </xf>
    <xf numFmtId="3" fontId="4" fillId="11" borderId="3" xfId="0" applyNumberFormat="1" applyFont="1" applyFill="1" applyBorder="1" applyAlignment="1">
      <alignment horizontal="center"/>
    </xf>
    <xf numFmtId="4" fontId="4" fillId="9" borderId="1" xfId="0" applyNumberFormat="1" applyFont="1" applyFill="1" applyBorder="1" applyAlignment="1">
      <alignment horizontal="center"/>
    </xf>
    <xf numFmtId="0" fontId="0" fillId="14" borderId="22" xfId="0" applyFill="1" applyBorder="1" applyAlignment="1">
      <alignment/>
    </xf>
    <xf numFmtId="0" fontId="0" fillId="14" borderId="23" xfId="0" applyFill="1" applyBorder="1" applyAlignment="1">
      <alignment/>
    </xf>
    <xf numFmtId="0" fontId="0" fillId="14" borderId="24" xfId="0" applyFill="1" applyBorder="1" applyAlignment="1">
      <alignment/>
    </xf>
    <xf numFmtId="0" fontId="0" fillId="4" borderId="22" xfId="0" applyFill="1" applyBorder="1" applyAlignment="1">
      <alignment/>
    </xf>
    <xf numFmtId="0" fontId="0" fillId="4" borderId="23" xfId="0" applyFill="1" applyBorder="1" applyAlignment="1">
      <alignment/>
    </xf>
    <xf numFmtId="176" fontId="0" fillId="9" borderId="1" xfId="15" applyNumberFormat="1" applyFill="1" applyBorder="1" applyAlignment="1">
      <alignment/>
    </xf>
    <xf numFmtId="3" fontId="0" fillId="4" borderId="22" xfId="0" applyNumberFormat="1" applyFill="1" applyBorder="1" applyAlignment="1">
      <alignment horizontal="center"/>
    </xf>
    <xf numFmtId="0" fontId="0" fillId="9" borderId="1" xfId="0" applyFont="1" applyFill="1" applyBorder="1" applyAlignment="1">
      <alignment/>
    </xf>
    <xf numFmtId="0" fontId="9" fillId="9" borderId="1" xfId="0" applyFont="1" applyFill="1" applyBorder="1" applyAlignment="1">
      <alignment/>
    </xf>
    <xf numFmtId="0" fontId="0" fillId="14" borderId="1" xfId="0" applyFont="1" applyFill="1" applyBorder="1" applyAlignment="1">
      <alignment/>
    </xf>
    <xf numFmtId="0" fontId="0" fillId="13" borderId="2" xfId="0" applyFill="1" applyBorder="1" applyAlignment="1">
      <alignment/>
    </xf>
    <xf numFmtId="0" fontId="0" fillId="13" borderId="13" xfId="0" applyFill="1" applyBorder="1" applyAlignment="1">
      <alignment/>
    </xf>
    <xf numFmtId="0" fontId="0" fillId="13" borderId="0" xfId="0" applyFill="1" applyBorder="1" applyAlignment="1">
      <alignment/>
    </xf>
    <xf numFmtId="0" fontId="0" fillId="13" borderId="15" xfId="0" applyFill="1" applyBorder="1" applyAlignment="1">
      <alignment/>
    </xf>
    <xf numFmtId="0" fontId="0" fillId="13" borderId="17" xfId="0" applyFill="1" applyBorder="1" applyAlignment="1">
      <alignment/>
    </xf>
    <xf numFmtId="0" fontId="0" fillId="13" borderId="18" xfId="0" applyFill="1" applyBorder="1" applyAlignment="1">
      <alignment/>
    </xf>
    <xf numFmtId="0" fontId="32" fillId="13" borderId="12" xfId="0" applyFont="1" applyFill="1" applyBorder="1" applyAlignment="1">
      <alignment/>
    </xf>
    <xf numFmtId="0" fontId="5" fillId="13" borderId="2" xfId="0" applyFont="1" applyFill="1" applyBorder="1" applyAlignment="1">
      <alignment/>
    </xf>
    <xf numFmtId="0" fontId="5" fillId="13" borderId="13" xfId="0" applyFont="1" applyFill="1" applyBorder="1" applyAlignment="1">
      <alignment/>
    </xf>
    <xf numFmtId="0" fontId="32" fillId="13" borderId="16" xfId="0" applyFont="1" applyFill="1" applyBorder="1" applyAlignment="1">
      <alignment/>
    </xf>
    <xf numFmtId="0" fontId="5" fillId="13" borderId="17" xfId="0" applyFont="1" applyFill="1" applyBorder="1" applyAlignment="1">
      <alignment/>
    </xf>
    <xf numFmtId="0" fontId="5" fillId="13" borderId="18" xfId="0" applyFont="1" applyFill="1" applyBorder="1" applyAlignment="1">
      <alignment/>
    </xf>
    <xf numFmtId="0" fontId="26" fillId="13" borderId="12" xfId="0" applyFont="1" applyFill="1" applyBorder="1" applyAlignment="1">
      <alignment/>
    </xf>
    <xf numFmtId="0" fontId="26" fillId="13" borderId="16" xfId="0" applyFont="1" applyFill="1" applyBorder="1" applyAlignment="1">
      <alignment/>
    </xf>
    <xf numFmtId="0" fontId="33" fillId="6" borderId="0" xfId="0" applyFont="1" applyFill="1" applyAlignment="1">
      <alignment/>
    </xf>
    <xf numFmtId="3" fontId="23" fillId="6" borderId="0" xfId="0" applyNumberFormat="1" applyFont="1" applyFill="1" applyBorder="1" applyAlignment="1">
      <alignment horizontal="center"/>
    </xf>
    <xf numFmtId="3" fontId="33" fillId="6" borderId="0" xfId="0" applyNumberFormat="1" applyFont="1" applyFill="1" applyBorder="1" applyAlignment="1">
      <alignment horizontal="center"/>
    </xf>
    <xf numFmtId="0" fontId="23" fillId="6" borderId="0" xfId="0" applyFont="1" applyFill="1" applyBorder="1" applyAlignment="1">
      <alignment/>
    </xf>
    <xf numFmtId="0" fontId="26" fillId="13" borderId="2" xfId="0" applyFont="1" applyFill="1" applyBorder="1" applyAlignment="1">
      <alignment/>
    </xf>
    <xf numFmtId="0" fontId="26" fillId="13" borderId="13" xfId="0" applyFont="1" applyFill="1" applyBorder="1" applyAlignment="1">
      <alignment/>
    </xf>
    <xf numFmtId="0" fontId="0" fillId="13" borderId="30" xfId="0" applyFill="1" applyBorder="1" applyAlignment="1">
      <alignment/>
    </xf>
    <xf numFmtId="0" fontId="0" fillId="13" borderId="31" xfId="0" applyFill="1" applyBorder="1" applyAlignment="1">
      <alignment/>
    </xf>
    <xf numFmtId="0" fontId="34" fillId="13" borderId="2" xfId="0" applyFont="1" applyFill="1" applyBorder="1" applyAlignment="1">
      <alignment/>
    </xf>
    <xf numFmtId="0" fontId="34" fillId="13" borderId="13" xfId="0" applyFont="1" applyFill="1" applyBorder="1" applyAlignment="1">
      <alignment/>
    </xf>
    <xf numFmtId="0" fontId="34" fillId="13" borderId="17" xfId="0" applyFont="1" applyFill="1" applyBorder="1" applyAlignment="1">
      <alignment/>
    </xf>
    <xf numFmtId="0" fontId="34" fillId="13" borderId="18" xfId="0" applyFont="1" applyFill="1" applyBorder="1" applyAlignment="1">
      <alignment/>
    </xf>
    <xf numFmtId="0" fontId="26" fillId="13" borderId="32" xfId="0" applyFont="1" applyFill="1" applyBorder="1" applyAlignment="1">
      <alignment/>
    </xf>
    <xf numFmtId="0" fontId="26" fillId="13" borderId="14" xfId="0" applyFont="1" applyFill="1" applyBorder="1" applyAlignment="1">
      <alignment/>
    </xf>
    <xf numFmtId="0" fontId="26" fillId="13" borderId="16" xfId="0" applyFont="1" applyFill="1" applyBorder="1" applyAlignment="1" quotePrefix="1">
      <alignment/>
    </xf>
    <xf numFmtId="3" fontId="4" fillId="13" borderId="30" xfId="0" applyNumberFormat="1" applyFont="1" applyFill="1" applyBorder="1" applyAlignment="1">
      <alignment horizont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26" fillId="13" borderId="32" xfId="0" applyNumberFormat="1" applyFont="1" applyFill="1" applyBorder="1" applyAlignment="1">
      <alignment/>
    </xf>
    <xf numFmtId="3" fontId="0" fillId="13" borderId="31" xfId="0" applyNumberFormat="1" applyFont="1" applyFill="1" applyBorder="1" applyAlignment="1">
      <alignment horizontal="left"/>
    </xf>
    <xf numFmtId="176" fontId="0" fillId="14" borderId="1" xfId="15" applyNumberFormat="1" applyFill="1" applyBorder="1" applyAlignment="1">
      <alignment/>
    </xf>
    <xf numFmtId="214" fontId="0" fillId="14" borderId="1" xfId="17" applyNumberFormat="1" applyFill="1" applyBorder="1" applyAlignment="1">
      <alignment/>
    </xf>
    <xf numFmtId="44" fontId="0" fillId="14" borderId="1" xfId="17" applyFill="1" applyBorder="1" applyAlignment="1">
      <alignment/>
    </xf>
    <xf numFmtId="0" fontId="0" fillId="14" borderId="1" xfId="0" applyFill="1" applyBorder="1" applyAlignment="1">
      <alignment/>
    </xf>
    <xf numFmtId="0" fontId="0" fillId="4" borderId="1" xfId="0" applyFont="1" applyFill="1" applyBorder="1" applyAlignment="1">
      <alignment/>
    </xf>
    <xf numFmtId="0" fontId="0" fillId="5" borderId="21" xfId="0" applyFill="1" applyBorder="1" applyAlignment="1">
      <alignment horizontal="center"/>
    </xf>
    <xf numFmtId="0" fontId="0" fillId="13" borderId="16" xfId="0" applyFill="1" applyBorder="1" applyAlignment="1">
      <alignment/>
    </xf>
    <xf numFmtId="0" fontId="35" fillId="0" borderId="0" xfId="0" applyFont="1" applyFill="1" applyAlignment="1">
      <alignment/>
    </xf>
    <xf numFmtId="0" fontId="35" fillId="0" borderId="0" xfId="0" applyFont="1" applyBorder="1" applyAlignment="1">
      <alignment/>
    </xf>
    <xf numFmtId="0" fontId="23" fillId="8" borderId="0" xfId="0" applyFont="1" applyFill="1" applyBorder="1" applyAlignment="1">
      <alignment/>
    </xf>
    <xf numFmtId="0" fontId="0" fillId="8" borderId="0" xfId="0" applyFill="1" applyBorder="1" applyAlignment="1">
      <alignment/>
    </xf>
    <xf numFmtId="0" fontId="36" fillId="16" borderId="0" xfId="0" applyFont="1" applyFill="1" applyBorder="1" applyAlignment="1">
      <alignment/>
    </xf>
    <xf numFmtId="0" fontId="11" fillId="16" borderId="0" xfId="0" applyFont="1" applyFill="1" applyBorder="1" applyAlignment="1">
      <alignment/>
    </xf>
    <xf numFmtId="0" fontId="36" fillId="8" borderId="0" xfId="0" applyFont="1" applyFill="1" applyBorder="1" applyAlignment="1">
      <alignment/>
    </xf>
    <xf numFmtId="0" fontId="0" fillId="0" borderId="33" xfId="0" applyBorder="1" applyAlignment="1">
      <alignment/>
    </xf>
    <xf numFmtId="0" fontId="0" fillId="0" borderId="34" xfId="0" applyBorder="1" applyAlignment="1">
      <alignment/>
    </xf>
    <xf numFmtId="0" fontId="0" fillId="0" borderId="35" xfId="0" applyFill="1" applyBorder="1" applyAlignment="1">
      <alignment/>
    </xf>
    <xf numFmtId="0" fontId="0" fillId="0" borderId="36" xfId="0" applyBorder="1" applyAlignment="1">
      <alignment/>
    </xf>
    <xf numFmtId="0" fontId="0" fillId="0" borderId="37" xfId="0" applyFill="1" applyBorder="1" applyAlignment="1">
      <alignment/>
    </xf>
    <xf numFmtId="0" fontId="11" fillId="0" borderId="37" xfId="0" applyFont="1" applyFill="1" applyBorder="1" applyAlignment="1">
      <alignment/>
    </xf>
    <xf numFmtId="0" fontId="4" fillId="0" borderId="37" xfId="0" applyFont="1" applyFill="1" applyBorder="1" applyAlignment="1">
      <alignment/>
    </xf>
    <xf numFmtId="0" fontId="0" fillId="0" borderId="37" xfId="0" applyFill="1" applyBorder="1" applyAlignment="1">
      <alignment horizontal="center"/>
    </xf>
    <xf numFmtId="214" fontId="0" fillId="0" borderId="37" xfId="17" applyNumberFormat="1" applyFill="1" applyBorder="1" applyAlignment="1">
      <alignment horizontal="center"/>
    </xf>
    <xf numFmtId="0" fontId="7" fillId="0" borderId="37"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40" xfId="0" applyFill="1" applyBorder="1" applyAlignment="1">
      <alignment/>
    </xf>
    <xf numFmtId="0" fontId="37" fillId="0" borderId="0" xfId="0" applyFont="1" applyAlignment="1" quotePrefix="1">
      <alignment/>
    </xf>
    <xf numFmtId="0" fontId="37" fillId="13" borderId="33" xfId="0" applyFont="1" applyFill="1" applyBorder="1" applyAlignment="1" quotePrefix="1">
      <alignment/>
    </xf>
    <xf numFmtId="0" fontId="0" fillId="13" borderId="34" xfId="0" applyFill="1" applyBorder="1" applyAlignment="1">
      <alignment/>
    </xf>
    <xf numFmtId="0" fontId="0" fillId="13" borderId="35" xfId="0" applyFill="1" applyBorder="1" applyAlignment="1">
      <alignment/>
    </xf>
    <xf numFmtId="0" fontId="37" fillId="13" borderId="38" xfId="0" applyFont="1" applyFill="1" applyBorder="1" applyAlignment="1">
      <alignment/>
    </xf>
    <xf numFmtId="0" fontId="0" fillId="13" borderId="39" xfId="0" applyFill="1" applyBorder="1" applyAlignment="1">
      <alignment/>
    </xf>
    <xf numFmtId="0" fontId="0" fillId="13" borderId="40" xfId="0" applyFill="1" applyBorder="1" applyAlignment="1">
      <alignment/>
    </xf>
    <xf numFmtId="0" fontId="0" fillId="0" borderId="0" xfId="0" applyAlignment="1">
      <alignment horizontal="center"/>
    </xf>
    <xf numFmtId="0" fontId="24" fillId="16" borderId="1" xfId="0" applyFont="1" applyFill="1" applyBorder="1" applyAlignment="1">
      <alignment/>
    </xf>
    <xf numFmtId="0" fontId="26" fillId="17" borderId="22" xfId="0" applyFont="1" applyFill="1" applyBorder="1" applyAlignment="1">
      <alignment/>
    </xf>
    <xf numFmtId="0" fontId="4" fillId="14" borderId="22" xfId="0" applyFont="1" applyFill="1" applyBorder="1" applyAlignment="1">
      <alignment/>
    </xf>
    <xf numFmtId="0" fontId="0" fillId="11" borderId="1" xfId="0" applyFont="1" applyFill="1" applyBorder="1" applyAlignment="1">
      <alignment/>
    </xf>
    <xf numFmtId="0" fontId="0" fillId="14" borderId="22" xfId="0" applyFill="1" applyBorder="1" applyAlignment="1">
      <alignment/>
    </xf>
    <xf numFmtId="0" fontId="0" fillId="0" borderId="0" xfId="0" applyBorder="1" applyAlignment="1">
      <alignment/>
    </xf>
    <xf numFmtId="0" fontId="0" fillId="5" borderId="0" xfId="0" applyFill="1" applyBorder="1" applyAlignment="1">
      <alignment horizontal="left" vertical="top" wrapText="1"/>
    </xf>
    <xf numFmtId="0" fontId="0" fillId="11" borderId="41" xfId="0" applyFill="1" applyBorder="1" applyAlignment="1">
      <alignment/>
    </xf>
    <xf numFmtId="3" fontId="0" fillId="0" borderId="0" xfId="0" applyNumberFormat="1" applyAlignment="1">
      <alignment/>
    </xf>
    <xf numFmtId="0" fontId="38" fillId="0" borderId="0" xfId="20" applyFont="1" applyFill="1" applyAlignment="1">
      <alignment horizontal="center"/>
    </xf>
    <xf numFmtId="0" fontId="0" fillId="0" borderId="0" xfId="0" applyFont="1" applyFill="1" applyBorder="1" applyAlignment="1">
      <alignment/>
    </xf>
    <xf numFmtId="0" fontId="39" fillId="0" borderId="0" xfId="0" applyFont="1" applyFill="1" applyBorder="1" applyAlignment="1">
      <alignment horizontal="center"/>
    </xf>
    <xf numFmtId="0" fontId="0" fillId="0" borderId="0" xfId="0" applyBorder="1" applyAlignment="1">
      <alignment horizontal="center"/>
    </xf>
    <xf numFmtId="0" fontId="41" fillId="5" borderId="0" xfId="0" applyFont="1" applyFill="1" applyBorder="1" applyAlignment="1">
      <alignment/>
    </xf>
    <xf numFmtId="0" fontId="0" fillId="4" borderId="42" xfId="0" applyFill="1" applyBorder="1" applyAlignment="1">
      <alignment/>
    </xf>
    <xf numFmtId="0" fontId="0" fillId="4" borderId="43" xfId="0" applyFill="1" applyBorder="1" applyAlignment="1">
      <alignment/>
    </xf>
    <xf numFmtId="0" fontId="0" fillId="4" borderId="44" xfId="0" applyFill="1" applyBorder="1" applyAlignment="1">
      <alignment/>
    </xf>
    <xf numFmtId="0" fontId="0" fillId="4" borderId="45" xfId="0" applyFill="1" applyBorder="1" applyAlignment="1">
      <alignment/>
    </xf>
    <xf numFmtId="0" fontId="4" fillId="4" borderId="0" xfId="0" applyFont="1" applyFill="1" applyBorder="1" applyAlignment="1">
      <alignment horizontal="left"/>
    </xf>
    <xf numFmtId="0" fontId="0" fillId="4" borderId="46" xfId="0" applyFill="1" applyBorder="1" applyAlignment="1">
      <alignment/>
    </xf>
    <xf numFmtId="0" fontId="0" fillId="4" borderId="0" xfId="0" applyFont="1" applyFill="1" applyBorder="1" applyAlignment="1">
      <alignment horizontal="left"/>
    </xf>
    <xf numFmtId="0" fontId="0" fillId="4" borderId="47" xfId="0" applyFill="1" applyBorder="1" applyAlignment="1">
      <alignment/>
    </xf>
    <xf numFmtId="0" fontId="0" fillId="4" borderId="48" xfId="0" applyFill="1" applyBorder="1" applyAlignment="1">
      <alignment/>
    </xf>
    <xf numFmtId="0" fontId="0" fillId="4" borderId="49" xfId="0" applyFill="1" applyBorder="1" applyAlignment="1">
      <alignment/>
    </xf>
    <xf numFmtId="0" fontId="4" fillId="18" borderId="12" xfId="0" applyFont="1" applyFill="1" applyBorder="1" applyAlignment="1">
      <alignment/>
    </xf>
    <xf numFmtId="0" fontId="0" fillId="18" borderId="2" xfId="0" applyFill="1" applyBorder="1" applyAlignment="1">
      <alignment/>
    </xf>
    <xf numFmtId="0" fontId="0" fillId="18" borderId="50" xfId="0" applyFill="1" applyBorder="1" applyAlignment="1">
      <alignment/>
    </xf>
    <xf numFmtId="0" fontId="0" fillId="18" borderId="51" xfId="0" applyFill="1" applyBorder="1" applyAlignment="1">
      <alignment/>
    </xf>
    <xf numFmtId="0" fontId="0" fillId="18" borderId="14" xfId="0" applyFill="1" applyBorder="1" applyAlignment="1">
      <alignment/>
    </xf>
    <xf numFmtId="0" fontId="0" fillId="5" borderId="25" xfId="0" applyFill="1" applyBorder="1" applyAlignment="1">
      <alignment/>
    </xf>
    <xf numFmtId="0" fontId="0" fillId="5" borderId="52" xfId="0" applyFill="1" applyBorder="1" applyAlignment="1">
      <alignment/>
    </xf>
    <xf numFmtId="0" fontId="0" fillId="5" borderId="26" xfId="0" applyFill="1" applyBorder="1" applyAlignment="1">
      <alignment/>
    </xf>
    <xf numFmtId="0" fontId="0" fillId="5" borderId="53" xfId="0" applyFill="1" applyBorder="1" applyAlignment="1">
      <alignment/>
    </xf>
    <xf numFmtId="0" fontId="0" fillId="5" borderId="54" xfId="0" applyFill="1" applyBorder="1" applyAlignment="1">
      <alignment/>
    </xf>
    <xf numFmtId="0" fontId="0" fillId="18" borderId="16" xfId="0" applyFill="1" applyBorder="1" applyAlignment="1">
      <alignment/>
    </xf>
    <xf numFmtId="0" fontId="0" fillId="5" borderId="55" xfId="0" applyFill="1" applyBorder="1" applyAlignment="1">
      <alignment/>
    </xf>
    <xf numFmtId="0" fontId="0" fillId="5" borderId="56" xfId="0" applyFill="1" applyBorder="1" applyAlignment="1">
      <alignment/>
    </xf>
    <xf numFmtId="0" fontId="0" fillId="0" borderId="14" xfId="0" applyBorder="1" applyAlignment="1">
      <alignment/>
    </xf>
    <xf numFmtId="0" fontId="0" fillId="0" borderId="0" xfId="0" applyFill="1" applyBorder="1" applyAlignment="1">
      <alignment horizontal="left" vertical="top" wrapText="1"/>
    </xf>
    <xf numFmtId="0" fontId="4" fillId="0" borderId="1" xfId="0" applyFont="1" applyBorder="1" applyAlignment="1">
      <alignment/>
    </xf>
    <xf numFmtId="0" fontId="0" fillId="0" borderId="1" xfId="0" applyBorder="1" applyAlignment="1">
      <alignment/>
    </xf>
    <xf numFmtId="0" fontId="0" fillId="0" borderId="1" xfId="0" applyFill="1" applyBorder="1" applyAlignment="1">
      <alignment/>
    </xf>
    <xf numFmtId="0" fontId="23" fillId="16" borderId="0" xfId="0" applyFont="1" applyFill="1" applyAlignment="1">
      <alignment/>
    </xf>
    <xf numFmtId="0" fontId="33" fillId="16" borderId="0" xfId="0" applyFont="1" applyFill="1" applyAlignment="1">
      <alignment/>
    </xf>
    <xf numFmtId="0" fontId="0" fillId="19" borderId="1" xfId="0" applyFill="1" applyBorder="1" applyAlignment="1">
      <alignment/>
    </xf>
    <xf numFmtId="0" fontId="12" fillId="15" borderId="1" xfId="0" applyFont="1" applyFill="1" applyBorder="1" applyAlignment="1">
      <alignment/>
    </xf>
    <xf numFmtId="0" fontId="23" fillId="6" borderId="1" xfId="0" applyFont="1" applyFill="1" applyBorder="1" applyAlignment="1">
      <alignment/>
    </xf>
    <xf numFmtId="0" fontId="4" fillId="0" borderId="1" xfId="0" applyFont="1" applyFill="1" applyBorder="1" applyAlignment="1">
      <alignment/>
    </xf>
    <xf numFmtId="9" fontId="0" fillId="0" borderId="1" xfId="21" applyBorder="1" applyAlignment="1">
      <alignment/>
    </xf>
    <xf numFmtId="214" fontId="0" fillId="0" borderId="1" xfId="17" applyNumberFormat="1" applyBorder="1" applyAlignment="1">
      <alignment/>
    </xf>
    <xf numFmtId="214" fontId="0" fillId="0" borderId="1" xfId="17" applyNumberFormat="1" applyFont="1" applyBorder="1" applyAlignment="1">
      <alignment/>
    </xf>
    <xf numFmtId="0" fontId="0" fillId="9" borderId="1" xfId="0" applyFill="1" applyBorder="1" applyAlignment="1" quotePrefix="1">
      <alignment/>
    </xf>
    <xf numFmtId="214" fontId="0" fillId="0" borderId="0" xfId="17" applyNumberFormat="1" applyAlignment="1">
      <alignment/>
    </xf>
    <xf numFmtId="0" fontId="0" fillId="10" borderId="1" xfId="0" applyFill="1" applyBorder="1" applyAlignment="1">
      <alignment/>
    </xf>
    <xf numFmtId="214" fontId="0" fillId="10" borderId="1" xfId="17" applyNumberFormat="1" applyFill="1" applyBorder="1" applyAlignment="1">
      <alignment/>
    </xf>
    <xf numFmtId="9" fontId="0" fillId="9" borderId="1" xfId="21" applyFill="1" applyBorder="1" applyAlignment="1">
      <alignment/>
    </xf>
    <xf numFmtId="0" fontId="7" fillId="4" borderId="0" xfId="0" applyFont="1" applyFill="1" applyBorder="1" applyAlignment="1">
      <alignment horizontal="left"/>
    </xf>
    <xf numFmtId="0" fontId="7" fillId="4" borderId="0" xfId="0" applyFont="1" applyFill="1" applyBorder="1" applyAlignment="1">
      <alignment horizontal="right"/>
    </xf>
    <xf numFmtId="0" fontId="18" fillId="5" borderId="10" xfId="0" applyFont="1" applyFill="1" applyBorder="1" applyAlignment="1">
      <alignment horizontal="left"/>
    </xf>
    <xf numFmtId="0" fontId="7" fillId="4" borderId="46" xfId="0" applyFont="1" applyFill="1" applyBorder="1" applyAlignment="1">
      <alignment horizontal="left"/>
    </xf>
    <xf numFmtId="0" fontId="7" fillId="4" borderId="0" xfId="0" applyFont="1" applyFill="1" applyBorder="1" applyAlignment="1">
      <alignment horizontal="center"/>
    </xf>
    <xf numFmtId="0" fontId="7" fillId="4" borderId="8" xfId="0" applyFont="1" applyFill="1" applyBorder="1" applyAlignment="1">
      <alignment horizontal="center"/>
    </xf>
    <xf numFmtId="0" fontId="13" fillId="5" borderId="2" xfId="0" applyFont="1" applyFill="1" applyBorder="1" applyAlignment="1">
      <alignment horizontal="center"/>
    </xf>
    <xf numFmtId="0" fontId="13" fillId="5" borderId="0" xfId="0" applyFont="1" applyFill="1" applyBorder="1" applyAlignment="1">
      <alignment horizontal="center"/>
    </xf>
    <xf numFmtId="0" fontId="9" fillId="4" borderId="0" xfId="0" applyFont="1" applyFill="1" applyBorder="1" applyAlignment="1" quotePrefix="1">
      <alignment horizontal="center"/>
    </xf>
    <xf numFmtId="0" fontId="7" fillId="0" borderId="22" xfId="0" applyFont="1" applyFill="1" applyBorder="1" applyAlignment="1">
      <alignment horizontal="center"/>
    </xf>
    <xf numFmtId="0" fontId="7" fillId="0" borderId="24" xfId="0" applyFont="1" applyFill="1" applyBorder="1" applyAlignment="1">
      <alignment horizontal="center"/>
    </xf>
    <xf numFmtId="0" fontId="7" fillId="4" borderId="53" xfId="0" applyFont="1" applyFill="1" applyBorder="1" applyAlignment="1">
      <alignment horizontal="center"/>
    </xf>
    <xf numFmtId="0" fontId="7" fillId="4" borderId="54" xfId="0" applyFont="1" applyFill="1" applyBorder="1" applyAlignment="1">
      <alignment horizontal="center"/>
    </xf>
    <xf numFmtId="0" fontId="14" fillId="5" borderId="2" xfId="0" applyFont="1" applyFill="1" applyBorder="1" applyAlignment="1">
      <alignment horizontal="center"/>
    </xf>
    <xf numFmtId="0" fontId="14" fillId="5" borderId="0" xfId="0" applyFont="1" applyFill="1" applyBorder="1" applyAlignment="1">
      <alignment horizontal="center"/>
    </xf>
    <xf numFmtId="9" fontId="7" fillId="4" borderId="0" xfId="0" applyNumberFormat="1" applyFont="1" applyFill="1" applyBorder="1" applyAlignment="1">
      <alignment horizontal="center"/>
    </xf>
    <xf numFmtId="0" fontId="7" fillId="0" borderId="23" xfId="0" applyFont="1" applyFill="1" applyBorder="1" applyAlignment="1">
      <alignment horizontal="center"/>
    </xf>
    <xf numFmtId="0" fontId="16" fillId="5" borderId="2" xfId="0" applyFont="1" applyFill="1" applyBorder="1" applyAlignment="1">
      <alignment horizontal="right"/>
    </xf>
    <xf numFmtId="0" fontId="16" fillId="5" borderId="0" xfId="0" applyFont="1" applyFill="1" applyBorder="1" applyAlignment="1">
      <alignment horizontal="right"/>
    </xf>
    <xf numFmtId="0" fontId="17" fillId="5" borderId="2" xfId="0" applyFont="1" applyFill="1" applyBorder="1" applyAlignment="1">
      <alignment horizontal="left"/>
    </xf>
    <xf numFmtId="0" fontId="17" fillId="5" borderId="0" xfId="0" applyFont="1" applyFill="1" applyBorder="1" applyAlignment="1">
      <alignment horizontal="left"/>
    </xf>
    <xf numFmtId="0" fontId="15" fillId="5" borderId="2" xfId="0" applyFont="1" applyFill="1" applyBorder="1" applyAlignment="1">
      <alignment horizontal="right" wrapText="1"/>
    </xf>
    <xf numFmtId="0" fontId="15" fillId="5" borderId="0" xfId="0" applyFont="1" applyFill="1" applyBorder="1" applyAlignment="1">
      <alignment horizontal="right" wrapText="1"/>
    </xf>
    <xf numFmtId="0" fontId="42" fillId="15" borderId="57" xfId="0" applyFont="1" applyFill="1" applyBorder="1" applyAlignment="1">
      <alignment horizontal="center"/>
    </xf>
    <xf numFmtId="0" fontId="42" fillId="15" borderId="58" xfId="0" applyFont="1" applyFill="1" applyBorder="1" applyAlignment="1">
      <alignment horizontal="center"/>
    </xf>
    <xf numFmtId="0" fontId="42" fillId="15" borderId="59" xfId="0" applyFont="1" applyFill="1" applyBorder="1" applyAlignment="1">
      <alignment horizontal="center"/>
    </xf>
    <xf numFmtId="0" fontId="0" fillId="0" borderId="25" xfId="0" applyBorder="1" applyAlignment="1">
      <alignment vertical="top" wrapText="1"/>
    </xf>
    <xf numFmtId="0" fontId="0" fillId="0" borderId="52" xfId="0" applyBorder="1" applyAlignment="1">
      <alignment vertical="top" wrapText="1"/>
    </xf>
    <xf numFmtId="0" fontId="0" fillId="0" borderId="60" xfId="0" applyBorder="1" applyAlignment="1">
      <alignment vertical="top" wrapText="1"/>
    </xf>
    <xf numFmtId="0" fontId="0" fillId="0" borderId="5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0" fillId="0" borderId="55"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52" xfId="0" applyBorder="1" applyAlignment="1">
      <alignment horizontal="left" vertical="top" wrapText="1"/>
    </xf>
    <xf numFmtId="0" fontId="0" fillId="0" borderId="60"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25" xfId="0" applyBorder="1" applyAlignment="1">
      <alignment horizontal="left" vertical="top" wrapText="1"/>
    </xf>
    <xf numFmtId="0" fontId="0" fillId="0" borderId="53" xfId="0" applyBorder="1" applyAlignment="1">
      <alignment horizontal="left" vertical="top" wrapText="1"/>
    </xf>
    <xf numFmtId="0" fontId="0" fillId="0" borderId="55" xfId="0" applyBorder="1" applyAlignment="1">
      <alignment horizontal="left" vertical="top" wrapText="1"/>
    </xf>
    <xf numFmtId="214" fontId="4" fillId="5" borderId="32" xfId="17" applyNumberFormat="1" applyFont="1" applyFill="1" applyBorder="1" applyAlignment="1">
      <alignment horizontal="right"/>
    </xf>
    <xf numFmtId="214" fontId="4" fillId="5" borderId="30" xfId="17" applyNumberFormat="1" applyFont="1" applyFill="1" applyBorder="1" applyAlignment="1">
      <alignment horizontal="right"/>
    </xf>
    <xf numFmtId="214" fontId="4" fillId="5" borderId="31" xfId="17" applyNumberFormat="1" applyFont="1" applyFill="1" applyBorder="1" applyAlignment="1">
      <alignment horizontal="right"/>
    </xf>
    <xf numFmtId="176" fontId="4" fillId="5" borderId="32" xfId="15" applyNumberFormat="1" applyFont="1" applyFill="1" applyBorder="1" applyAlignment="1">
      <alignment horizontal="right"/>
    </xf>
    <xf numFmtId="176" fontId="4" fillId="5" borderId="30" xfId="15" applyNumberFormat="1" applyFont="1" applyFill="1" applyBorder="1" applyAlignment="1">
      <alignment horizontal="right"/>
    </xf>
    <xf numFmtId="176" fontId="4" fillId="5" borderId="31" xfId="15" applyNumberFormat="1" applyFont="1" applyFill="1" applyBorder="1" applyAlignment="1">
      <alignment horizontal="right"/>
    </xf>
    <xf numFmtId="2" fontId="4" fillId="5" borderId="32" xfId="0" applyNumberFormat="1" applyFont="1" applyFill="1" applyBorder="1" applyAlignment="1">
      <alignment horizontal="right"/>
    </xf>
    <xf numFmtId="2" fontId="4" fillId="5" borderId="30" xfId="0" applyNumberFormat="1" applyFont="1" applyFill="1" applyBorder="1" applyAlignment="1">
      <alignment horizontal="right"/>
    </xf>
    <xf numFmtId="2" fontId="4" fillId="5" borderId="31" xfId="0" applyNumberFormat="1" applyFont="1" applyFill="1" applyBorder="1" applyAlignment="1">
      <alignment horizontal="right"/>
    </xf>
    <xf numFmtId="0" fontId="0" fillId="5" borderId="22"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39" fillId="9" borderId="61" xfId="0" applyFont="1" applyFill="1" applyBorder="1" applyAlignment="1">
      <alignment horizontal="center"/>
    </xf>
    <xf numFmtId="0" fontId="39" fillId="9" borderId="62" xfId="0" applyFont="1" applyFill="1" applyBorder="1" applyAlignment="1">
      <alignment horizontal="center"/>
    </xf>
    <xf numFmtId="0" fontId="39" fillId="9" borderId="63" xfId="0" applyFont="1" applyFill="1" applyBorder="1" applyAlignment="1">
      <alignment horizontal="center"/>
    </xf>
    <xf numFmtId="0" fontId="40" fillId="13" borderId="64" xfId="0" applyFont="1" applyFill="1" applyBorder="1" applyAlignment="1">
      <alignment horizontal="center"/>
    </xf>
    <xf numFmtId="0" fontId="40" fillId="13" borderId="65" xfId="0" applyFont="1" applyFill="1" applyBorder="1" applyAlignment="1">
      <alignment horizontal="center"/>
    </xf>
    <xf numFmtId="0" fontId="40" fillId="13" borderId="66" xfId="0" applyFont="1" applyFill="1" applyBorder="1" applyAlignment="1">
      <alignment horizontal="center"/>
    </xf>
    <xf numFmtId="0" fontId="40" fillId="13" borderId="67" xfId="0" applyFont="1" applyFill="1" applyBorder="1" applyAlignment="1">
      <alignment horizontal="center"/>
    </xf>
    <xf numFmtId="3" fontId="4" fillId="5" borderId="32" xfId="0" applyNumberFormat="1" applyFont="1" applyFill="1" applyBorder="1" applyAlignment="1">
      <alignment horizontal="right"/>
    </xf>
    <xf numFmtId="3" fontId="4" fillId="5" borderId="30" xfId="0" applyNumberFormat="1" applyFont="1" applyFill="1" applyBorder="1" applyAlignment="1">
      <alignment horizontal="right"/>
    </xf>
    <xf numFmtId="3" fontId="4" fillId="5" borderId="31" xfId="0" applyNumberFormat="1" applyFont="1" applyFill="1" applyBorder="1" applyAlignment="1">
      <alignment horizontal="right"/>
    </xf>
    <xf numFmtId="0" fontId="12" fillId="16" borderId="12" xfId="0" applyFont="1" applyFill="1" applyBorder="1" applyAlignment="1">
      <alignment horizontal="left"/>
    </xf>
    <xf numFmtId="0" fontId="12" fillId="16" borderId="2" xfId="0" applyFont="1" applyFill="1" applyBorder="1" applyAlignment="1">
      <alignment horizontal="left"/>
    </xf>
    <xf numFmtId="0" fontId="12" fillId="16" borderId="13" xfId="0" applyFont="1" applyFill="1" applyBorder="1" applyAlignment="1">
      <alignment horizontal="left"/>
    </xf>
    <xf numFmtId="0" fontId="0" fillId="5" borderId="25" xfId="0" applyFill="1" applyBorder="1" applyAlignment="1">
      <alignment horizontal="left" vertical="top" wrapText="1"/>
    </xf>
    <xf numFmtId="0" fontId="0" fillId="5" borderId="52" xfId="0" applyFill="1" applyBorder="1" applyAlignment="1">
      <alignment horizontal="left" vertical="top" wrapText="1"/>
    </xf>
    <xf numFmtId="0" fontId="0" fillId="5" borderId="26" xfId="0" applyFill="1" applyBorder="1" applyAlignment="1">
      <alignment horizontal="left" vertical="top" wrapText="1"/>
    </xf>
    <xf numFmtId="0" fontId="0" fillId="5" borderId="53" xfId="0" applyFill="1" applyBorder="1" applyAlignment="1">
      <alignment horizontal="left" vertical="top" wrapText="1"/>
    </xf>
    <xf numFmtId="0" fontId="0" fillId="5" borderId="0" xfId="0" applyFill="1" applyBorder="1" applyAlignment="1">
      <alignment horizontal="left" vertical="top" wrapText="1"/>
    </xf>
    <xf numFmtId="0" fontId="0" fillId="5" borderId="54" xfId="0" applyFill="1" applyBorder="1" applyAlignment="1">
      <alignment horizontal="left" vertical="top" wrapText="1"/>
    </xf>
    <xf numFmtId="0" fontId="0" fillId="5" borderId="27" xfId="0" applyFill="1" applyBorder="1" applyAlignment="1">
      <alignment horizontal="left" vertical="top" wrapText="1"/>
    </xf>
    <xf numFmtId="0" fontId="0" fillId="5" borderId="68" xfId="0" applyFill="1" applyBorder="1" applyAlignment="1">
      <alignment horizontal="left" vertical="top" wrapText="1"/>
    </xf>
    <xf numFmtId="0" fontId="0" fillId="5" borderId="28" xfId="0" applyFill="1" applyBorder="1" applyAlignment="1">
      <alignment horizontal="left" vertical="top" wrapText="1"/>
    </xf>
    <xf numFmtId="0" fontId="12" fillId="20" borderId="32" xfId="0" applyFont="1" applyFill="1" applyBorder="1" applyAlignment="1">
      <alignment horizontal="left"/>
    </xf>
    <xf numFmtId="0" fontId="12" fillId="20" borderId="30" xfId="0" applyFont="1" applyFill="1" applyBorder="1" applyAlignment="1">
      <alignment horizontal="left"/>
    </xf>
    <xf numFmtId="0" fontId="12" fillId="20" borderId="31" xfId="0" applyFont="1" applyFill="1" applyBorder="1" applyAlignment="1">
      <alignment horizontal="left"/>
    </xf>
    <xf numFmtId="0" fontId="0" fillId="10" borderId="32" xfId="0" applyFont="1" applyFill="1" applyBorder="1" applyAlignment="1">
      <alignment horizontal="left"/>
    </xf>
    <xf numFmtId="0" fontId="0" fillId="10" borderId="30" xfId="0" applyFont="1" applyFill="1" applyBorder="1" applyAlignment="1">
      <alignment horizontal="left"/>
    </xf>
    <xf numFmtId="0" fontId="0" fillId="10" borderId="69" xfId="0" applyFont="1" applyFill="1" applyBorder="1" applyAlignment="1">
      <alignment horizontal="left"/>
    </xf>
    <xf numFmtId="0" fontId="12" fillId="21" borderId="32" xfId="0" applyFont="1" applyFill="1" applyBorder="1" applyAlignment="1">
      <alignment horizontal="left"/>
    </xf>
    <xf numFmtId="0" fontId="12" fillId="21" borderId="30" xfId="0" applyFont="1" applyFill="1" applyBorder="1" applyAlignment="1">
      <alignment horizontal="left"/>
    </xf>
    <xf numFmtId="0" fontId="12" fillId="21" borderId="31" xfId="0" applyFont="1" applyFill="1" applyBorder="1" applyAlignment="1">
      <alignment horizontal="left"/>
    </xf>
    <xf numFmtId="3" fontId="0" fillId="4" borderId="70" xfId="0" applyNumberFormat="1" applyFont="1" applyFill="1" applyBorder="1" applyAlignment="1">
      <alignment horizontal="left"/>
    </xf>
    <xf numFmtId="3" fontId="0" fillId="4" borderId="50" xfId="0" applyNumberFormat="1" applyFont="1" applyFill="1" applyBorder="1" applyAlignment="1">
      <alignment horizontal="left"/>
    </xf>
    <xf numFmtId="3" fontId="0" fillId="4" borderId="51" xfId="0" applyNumberFormat="1" applyFont="1" applyFill="1" applyBorder="1" applyAlignment="1">
      <alignment horizontal="left"/>
    </xf>
    <xf numFmtId="3" fontId="0" fillId="14" borderId="71" xfId="0" applyNumberFormat="1" applyFont="1" applyFill="1" applyBorder="1" applyAlignment="1">
      <alignment horizontal="left"/>
    </xf>
    <xf numFmtId="3" fontId="0" fillId="14" borderId="72" xfId="0" applyNumberFormat="1" applyFont="1" applyFill="1" applyBorder="1" applyAlignment="1">
      <alignment horizontal="left"/>
    </xf>
    <xf numFmtId="3" fontId="0" fillId="14" borderId="73" xfId="0" applyNumberFormat="1" applyFont="1" applyFill="1" applyBorder="1" applyAlignment="1">
      <alignment horizontal="left"/>
    </xf>
    <xf numFmtId="0" fontId="23" fillId="22" borderId="12" xfId="0" applyFont="1" applyFill="1" applyBorder="1" applyAlignment="1">
      <alignment horizontal="left"/>
    </xf>
    <xf numFmtId="0" fontId="23" fillId="22" borderId="2" xfId="0" applyFont="1" applyFill="1" applyBorder="1" applyAlignment="1">
      <alignment horizontal="left"/>
    </xf>
    <xf numFmtId="0" fontId="23" fillId="22" borderId="13" xfId="0" applyFont="1" applyFill="1" applyBorder="1" applyAlignment="1">
      <alignment horizontal="left"/>
    </xf>
    <xf numFmtId="0" fontId="12" fillId="15" borderId="12" xfId="0" applyFont="1" applyFill="1" applyBorder="1" applyAlignment="1">
      <alignment horizontal="left"/>
    </xf>
    <xf numFmtId="0" fontId="12" fillId="15" borderId="2" xfId="0" applyFont="1" applyFill="1" applyBorder="1" applyAlignment="1">
      <alignment horizontal="left"/>
    </xf>
    <xf numFmtId="0" fontId="12" fillId="15" borderId="13" xfId="0" applyFont="1" applyFill="1" applyBorder="1" applyAlignment="1">
      <alignment horizontal="left"/>
    </xf>
    <xf numFmtId="0" fontId="0" fillId="0" borderId="12" xfId="0" applyBorder="1" applyAlignment="1">
      <alignment horizontal="left" vertical="top" wrapText="1"/>
    </xf>
    <xf numFmtId="0" fontId="0" fillId="0" borderId="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4" fillId="0" borderId="0" xfId="0" applyFont="1" applyAlignment="1">
      <alignment horizontal="left"/>
    </xf>
    <xf numFmtId="0" fontId="2" fillId="18" borderId="0" xfId="20" applyFill="1" applyBorder="1" applyAlignment="1">
      <alignment horizontal="center"/>
    </xf>
    <xf numFmtId="0" fontId="18" fillId="18" borderId="0" xfId="0" applyFont="1" applyFill="1" applyBorder="1" applyAlignment="1">
      <alignment horizontal="center"/>
    </xf>
    <xf numFmtId="43" fontId="0" fillId="0" borderId="74" xfId="15" applyBorder="1" applyAlignment="1">
      <alignment horizontal="right"/>
    </xf>
    <xf numFmtId="43" fontId="0" fillId="0" borderId="75" xfId="15" applyBorder="1" applyAlignment="1">
      <alignment horizontal="right"/>
    </xf>
    <xf numFmtId="0" fontId="46" fillId="6" borderId="0" xfId="20" applyFont="1" applyFill="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7"/>
          <c:y val="0.0575"/>
          <c:w val="0.8925"/>
          <c:h val="0.84875"/>
        </c:manualLayout>
      </c:layout>
      <c:scatterChart>
        <c:scatterStyle val="line"/>
        <c:varyColors val="0"/>
        <c:ser>
          <c:idx val="0"/>
          <c:order val="0"/>
          <c:tx>
            <c:strRef>
              <c:f>'Simulation Model'!$AF$35</c:f>
              <c:strCache>
                <c:ptCount val="1"/>
                <c:pt idx="0">
                  <c:v>Fixed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Model'!$AG$35:$AK$35</c:f>
              <c:numCache>
                <c:ptCount val="5"/>
                <c:pt idx="0">
                  <c:v>0</c:v>
                </c:pt>
                <c:pt idx="1">
                  <c:v>0</c:v>
                </c:pt>
                <c:pt idx="2">
                  <c:v>0</c:v>
                </c:pt>
                <c:pt idx="3">
                  <c:v>0</c:v>
                </c:pt>
                <c:pt idx="4">
                  <c:v>0</c:v>
                </c:pt>
              </c:numCache>
            </c:numRef>
          </c:yVal>
          <c:smooth val="0"/>
        </c:ser>
        <c:ser>
          <c:idx val="1"/>
          <c:order val="1"/>
          <c:tx>
            <c:strRef>
              <c:f>'Simulation Model'!$AF$36</c:f>
              <c:strCache>
                <c:ptCount val="1"/>
                <c:pt idx="0">
                  <c:v>Variable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Model'!$AG$36:$AK$36</c:f>
              <c:numCache>
                <c:ptCount val="5"/>
                <c:pt idx="0">
                  <c:v>0</c:v>
                </c:pt>
                <c:pt idx="1">
                  <c:v>0</c:v>
                </c:pt>
                <c:pt idx="2">
                  <c:v>0</c:v>
                </c:pt>
                <c:pt idx="3">
                  <c:v>0</c:v>
                </c:pt>
                <c:pt idx="4">
                  <c:v>0</c:v>
                </c:pt>
              </c:numCache>
            </c:numRef>
          </c:yVal>
          <c:smooth val="0"/>
        </c:ser>
        <c:ser>
          <c:idx val="2"/>
          <c:order val="2"/>
          <c:tx>
            <c:strRef>
              <c:f>'Simulation Model'!$AF$37</c:f>
              <c:strCache>
                <c:ptCount val="1"/>
                <c:pt idx="0">
                  <c:v>Total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Model'!$AG$37:$AK$37</c:f>
              <c:numCache>
                <c:ptCount val="5"/>
                <c:pt idx="0">
                  <c:v>0</c:v>
                </c:pt>
                <c:pt idx="1">
                  <c:v>0</c:v>
                </c:pt>
                <c:pt idx="2">
                  <c:v>0</c:v>
                </c:pt>
                <c:pt idx="3">
                  <c:v>0</c:v>
                </c:pt>
                <c:pt idx="4">
                  <c:v>0</c:v>
                </c:pt>
              </c:numCache>
            </c:numRef>
          </c:yVal>
          <c:smooth val="0"/>
        </c:ser>
        <c:ser>
          <c:idx val="3"/>
          <c:order val="3"/>
          <c:tx>
            <c:strRef>
              <c:f>'Simulation Model'!$AF$38</c:f>
              <c:strCache>
                <c:ptCount val="1"/>
                <c:pt idx="0">
                  <c:v>Revenue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Model'!$AG$38:$AK$38</c:f>
              <c:numCache>
                <c:ptCount val="5"/>
                <c:pt idx="0">
                  <c:v>0</c:v>
                </c:pt>
                <c:pt idx="1">
                  <c:v>0</c:v>
                </c:pt>
                <c:pt idx="2">
                  <c:v>0</c:v>
                </c:pt>
                <c:pt idx="3">
                  <c:v>0</c:v>
                </c:pt>
                <c:pt idx="4">
                  <c:v>0</c:v>
                </c:pt>
              </c:numCache>
            </c:numRef>
          </c:yVal>
          <c:smooth val="0"/>
        </c:ser>
        <c:ser>
          <c:idx val="4"/>
          <c:order val="4"/>
          <c:tx>
            <c:strRef>
              <c:f>'Simulation Model'!$AF$39</c:f>
              <c:strCache>
                <c:ptCount val="1"/>
                <c:pt idx="0">
                  <c:v>BE Volume</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Model'!$AG$39:$AK$39</c:f>
              <c:numCache>
                <c:ptCount val="5"/>
                <c:pt idx="0">
                  <c:v>0</c:v>
                </c:pt>
                <c:pt idx="1">
                  <c:v>0</c:v>
                </c:pt>
                <c:pt idx="2">
                  <c:v>0</c:v>
                </c:pt>
                <c:pt idx="3">
                  <c:v>0</c:v>
                </c:pt>
                <c:pt idx="4">
                  <c:v>0</c:v>
                </c:pt>
              </c:numCache>
            </c:numRef>
          </c:yVal>
          <c:smooth val="0"/>
        </c:ser>
        <c:axId val="18840320"/>
        <c:axId val="35345153"/>
      </c:scatterChart>
      <c:valAx>
        <c:axId val="18840320"/>
        <c:scaling>
          <c:orientation val="minMax"/>
        </c:scaling>
        <c:axPos val="b"/>
        <c:title>
          <c:tx>
            <c:rich>
              <a:bodyPr vert="horz" rot="0" anchor="ctr"/>
              <a:lstStyle/>
              <a:p>
                <a:pPr algn="ctr">
                  <a:defRPr/>
                </a:pPr>
                <a:r>
                  <a:rPr lang="en-US" cap="none" sz="900" b="1" i="0" u="none" baseline="0">
                    <a:latin typeface="Arial"/>
                    <a:ea typeface="Arial"/>
                    <a:cs typeface="Arial"/>
                  </a:rPr>
                  <a:t>Unit Volume (Thousands)</a:t>
                </a:r>
              </a:p>
            </c:rich>
          </c:tx>
          <c:layout/>
          <c:overlay val="0"/>
          <c:spPr>
            <a:noFill/>
            <a:ln>
              <a:noFill/>
            </a:ln>
          </c:spPr>
        </c:title>
        <c:delete val="0"/>
        <c:numFmt formatCode="General" sourceLinked="1"/>
        <c:majorTickMark val="out"/>
        <c:minorTickMark val="none"/>
        <c:tickLblPos val="nextTo"/>
        <c:crossAx val="35345153"/>
        <c:crosses val="autoZero"/>
        <c:crossBetween val="midCat"/>
        <c:dispUnits>
          <c:builtInUnit val="thousands"/>
        </c:dispUnits>
      </c:valAx>
      <c:valAx>
        <c:axId val="35345153"/>
        <c:scaling>
          <c:orientation val="minMax"/>
        </c:scaling>
        <c:axPos val="l"/>
        <c:title>
          <c:tx>
            <c:rich>
              <a:bodyPr vert="horz" rot="-5400000" anchor="ctr"/>
              <a:lstStyle/>
              <a:p>
                <a:pPr algn="ctr">
                  <a:defRPr/>
                </a:pPr>
                <a:r>
                  <a:rPr lang="en-US" cap="none" sz="900" b="1" i="0" u="none" baseline="0">
                    <a:latin typeface="Arial"/>
                    <a:ea typeface="Arial"/>
                    <a:cs typeface="Arial"/>
                  </a:rPr>
                  <a:t>US Dollars (Millions)</a:t>
                </a:r>
              </a:p>
            </c:rich>
          </c:tx>
          <c:layout/>
          <c:overlay val="0"/>
          <c:spPr>
            <a:noFill/>
            <a:ln>
              <a:noFill/>
            </a:ln>
          </c:spPr>
        </c:title>
        <c:majorGridlines/>
        <c:delete val="0"/>
        <c:numFmt formatCode="General" sourceLinked="1"/>
        <c:majorTickMark val="out"/>
        <c:minorTickMark val="none"/>
        <c:tickLblPos val="nextTo"/>
        <c:crossAx val="18840320"/>
        <c:crosses val="autoZero"/>
        <c:crossBetween val="midCat"/>
        <c:dispUnits>
          <c:builtInUnit val="millions"/>
        </c:dispUnits>
      </c:valAx>
      <c:spPr>
        <a:solidFill>
          <a:srgbClr val="99CCFF"/>
        </a:solidFill>
        <a:ln w="12700">
          <a:solidFill>
            <a:srgbClr val="99CCFF"/>
          </a:solidFill>
        </a:ln>
      </c:spPr>
    </c:plotArea>
    <c:legend>
      <c:legendPos val="r"/>
      <c:layout>
        <c:manualLayout>
          <c:xMode val="edge"/>
          <c:yMode val="edge"/>
          <c:x val="0.6685"/>
          <c:y val="0.512"/>
          <c:w val="0.3315"/>
          <c:h val="0.3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99CCFF"/>
    </a:solidFill>
    <a:ln w="3175">
      <a:solidFill>
        <a:srgbClr val="99CCFF"/>
      </a:solidFill>
    </a:ln>
  </c:spPr>
  <c:txPr>
    <a:bodyPr vert="horz" rot="0"/>
    <a:lstStyle/>
    <a:p>
      <a:pPr>
        <a:defRPr lang="en-US" cap="none" sz="4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4875"/>
          <c:w val="0.94875"/>
          <c:h val="0.89825"/>
        </c:manualLayout>
      </c:layout>
      <c:scatterChart>
        <c:scatterStyle val="line"/>
        <c:varyColors val="0"/>
        <c:ser>
          <c:idx val="0"/>
          <c:order val="0"/>
          <c:tx>
            <c:strRef>
              <c:f>'Simulation Model'!$W$35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 Model'!$X$34:$AB$34</c:f>
              <c:strCache>
                <c:ptCount val="5"/>
                <c:pt idx="4">
                  <c:v>Demand &gt;= BE Volume</c:v>
                </c:pt>
              </c:strCache>
            </c:strRef>
          </c:xVal>
          <c:yVal>
            <c:numRef>
              <c:f>'Simulation Model'!$X$35:$AB$35</c:f>
              <c:numCache>
                <c:ptCount val="5"/>
                <c:pt idx="4">
                  <c:v>0</c:v>
                </c:pt>
              </c:numCache>
            </c:numRef>
          </c:yVal>
          <c:smooth val="0"/>
        </c:ser>
        <c:ser>
          <c:idx val="1"/>
          <c:order val="1"/>
          <c:tx>
            <c:strRef>
              <c:f>'Simulation Model'!$W$36</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 Model'!$X$34:$AB$34</c:f>
              <c:strCache>
                <c:ptCount val="5"/>
                <c:pt idx="4">
                  <c:v>Demand &gt;= BE Volume</c:v>
                </c:pt>
              </c:strCache>
            </c:strRef>
          </c:xVal>
          <c:yVal>
            <c:numRef>
              <c:f>'Simulation Model'!$X$36:$AB$36</c:f>
              <c:numCache>
                <c:ptCount val="5"/>
                <c:pt idx="4">
                  <c:v>0</c:v>
                </c:pt>
              </c:numCache>
            </c:numRef>
          </c:yVal>
          <c:smooth val="0"/>
        </c:ser>
        <c:ser>
          <c:idx val="2"/>
          <c:order val="2"/>
          <c:tx>
            <c:strRef>
              <c:f>'Simulation Model'!$W$37</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 Model'!$X$34:$AB$34</c:f>
              <c:strCache>
                <c:ptCount val="5"/>
                <c:pt idx="4">
                  <c:v>Demand &gt;= BE Volume</c:v>
                </c:pt>
              </c:strCache>
            </c:strRef>
          </c:xVal>
          <c:yVal>
            <c:numRef>
              <c:f>'Simulation Model'!$X$37:$AB$37</c:f>
              <c:numCache>
                <c:ptCount val="5"/>
              </c:numCache>
            </c:numRef>
          </c:yVal>
          <c:smooth val="0"/>
        </c:ser>
        <c:ser>
          <c:idx val="3"/>
          <c:order val="3"/>
          <c:tx>
            <c:strRef>
              <c:f>'Simulation Model'!$W$38</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strRef>
              <c:f>'Simulation Model'!$X$34:$AB$34</c:f>
              <c:strCache>
                <c:ptCount val="5"/>
                <c:pt idx="4">
                  <c:v>Demand &gt;= BE Volume</c:v>
                </c:pt>
              </c:strCache>
            </c:strRef>
          </c:xVal>
          <c:yVal>
            <c:numRef>
              <c:f>'Simulation Model'!$X$38:$AB$38</c:f>
              <c:numCache>
                <c:ptCount val="5"/>
              </c:numCache>
            </c:numRef>
          </c:yVal>
          <c:smooth val="0"/>
        </c:ser>
        <c:ser>
          <c:idx val="4"/>
          <c:order val="4"/>
          <c:tx>
            <c:strRef>
              <c:f>'Simulation Model'!$W$39</c:f>
              <c:strCache>
                <c:ptCount val="1"/>
                <c:pt idx="0">
                  <c:v>Local Direct Labor Matrix</c:v>
                </c:pt>
              </c:strCache>
            </c:strRef>
          </c:tx>
          <c:spPr>
            <a:ln w="12700">
              <a:solidFill>
                <a:srgbClr val="8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'Simulation Model'!$X$34:$AB$34</c:f>
              <c:strCache>
                <c:ptCount val="5"/>
                <c:pt idx="4">
                  <c:v>Demand &gt;= BE Volume</c:v>
                </c:pt>
              </c:strCache>
            </c:strRef>
          </c:xVal>
          <c:yVal>
            <c:numRef>
              <c:f>'Simulation Model'!$X$39:$AB$39</c:f>
              <c:numCache>
                <c:ptCount val="5"/>
              </c:numCache>
            </c:numRef>
          </c:yVal>
          <c:smooth val="0"/>
        </c:ser>
        <c:axId val="49670922"/>
        <c:axId val="44385115"/>
      </c:scatterChart>
      <c:valAx>
        <c:axId val="49670922"/>
        <c:scaling>
          <c:orientation val="minMax"/>
        </c:scaling>
        <c:axPos val="b"/>
        <c:title>
          <c:tx>
            <c:rich>
              <a:bodyPr vert="horz" rot="0" anchor="ctr"/>
              <a:lstStyle/>
              <a:p>
                <a:pPr algn="ctr">
                  <a:defRPr/>
                </a:pPr>
                <a:r>
                  <a:rPr lang="en-US" cap="none" sz="800" b="1" i="0" u="none" baseline="0">
                    <a:latin typeface="Arial"/>
                    <a:ea typeface="Arial"/>
                    <a:cs typeface="Arial"/>
                  </a:rPr>
                  <a:t>Unit Volume (Thousands)</a:t>
                </a:r>
              </a:p>
            </c:rich>
          </c:tx>
          <c:layout/>
          <c:overlay val="0"/>
          <c:spPr>
            <a:noFill/>
            <a:ln>
              <a:noFill/>
            </a:ln>
          </c:spPr>
        </c:title>
        <c:delete val="0"/>
        <c:numFmt formatCode="General" sourceLinked="1"/>
        <c:majorTickMark val="out"/>
        <c:minorTickMark val="none"/>
        <c:tickLblPos val="nextTo"/>
        <c:crossAx val="44385115"/>
        <c:crosses val="autoZero"/>
        <c:crossBetween val="midCat"/>
        <c:dispUnits>
          <c:builtInUnit val="thousands"/>
        </c:dispUnits>
      </c:valAx>
      <c:valAx>
        <c:axId val="44385115"/>
        <c:scaling>
          <c:orientation val="minMax"/>
        </c:scaling>
        <c:axPos val="l"/>
        <c:title>
          <c:tx>
            <c:rich>
              <a:bodyPr vert="horz" rot="-5400000" anchor="ctr"/>
              <a:lstStyle/>
              <a:p>
                <a:pPr algn="ctr">
                  <a:defRPr/>
                </a:pPr>
                <a:r>
                  <a:rPr lang="en-US" cap="none" sz="800" b="1" i="0" u="none" baseline="0">
                    <a:latin typeface="Arial"/>
                    <a:ea typeface="Arial"/>
                    <a:cs typeface="Arial"/>
                  </a:rPr>
                  <a:t>US Dollars (Millions)</a:t>
                </a:r>
              </a:p>
            </c:rich>
          </c:tx>
          <c:layout/>
          <c:overlay val="0"/>
          <c:spPr>
            <a:noFill/>
            <a:ln>
              <a:noFill/>
            </a:ln>
          </c:spPr>
        </c:title>
        <c:majorGridlines/>
        <c:delete val="0"/>
        <c:numFmt formatCode="General" sourceLinked="1"/>
        <c:majorTickMark val="out"/>
        <c:minorTickMark val="none"/>
        <c:tickLblPos val="nextTo"/>
        <c:crossAx val="49670922"/>
        <c:crosses val="autoZero"/>
        <c:crossBetween val="midCat"/>
        <c:dispUnits>
          <c:builtInUnit val="millions"/>
        </c:dispUnits>
      </c:valAx>
      <c:spPr>
        <a:solidFill>
          <a:srgbClr val="99CCFF"/>
        </a:solidFill>
        <a:ln w="12700">
          <a:solidFill>
            <a:srgbClr val="99CCFF"/>
          </a:solidFill>
        </a:ln>
      </c:spPr>
    </c:plotArea>
    <c:legend>
      <c:legendPos val="r"/>
      <c:layout>
        <c:manualLayout>
          <c:xMode val="edge"/>
          <c:yMode val="edge"/>
          <c:x val="0.678"/>
          <c:y val="0.5755"/>
          <c:w val="0.315"/>
          <c:h val="0.281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99CCFF"/>
    </a:solidFill>
    <a:ln w="3175">
      <a:solidFill>
        <a:srgbClr val="99CCFF"/>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Break Even Graph</a:t>
            </a:r>
          </a:p>
        </c:rich>
      </c:tx>
      <c:layout/>
      <c:spPr>
        <a:noFill/>
        <a:ln>
          <a:noFill/>
        </a:ln>
      </c:spPr>
    </c:title>
    <c:plotArea>
      <c:layout>
        <c:manualLayout>
          <c:xMode val="edge"/>
          <c:yMode val="edge"/>
          <c:x val="0.0755"/>
          <c:y val="0.06775"/>
          <c:w val="0.903"/>
          <c:h val="0.7235"/>
        </c:manualLayout>
      </c:layout>
      <c:scatterChart>
        <c:scatterStyle val="line"/>
        <c:varyColors val="0"/>
        <c:ser>
          <c:idx val="0"/>
          <c:order val="0"/>
          <c:tx>
            <c:strRef>
              <c:f>'Simulation Model'!$AF$35</c:f>
              <c:strCache>
                <c:ptCount val="1"/>
                <c:pt idx="0">
                  <c:v>Fixed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Model'!$AG$35:$AK$35</c:f>
              <c:numCache>
                <c:ptCount val="5"/>
                <c:pt idx="0">
                  <c:v>0</c:v>
                </c:pt>
                <c:pt idx="1">
                  <c:v>0</c:v>
                </c:pt>
                <c:pt idx="2">
                  <c:v>0</c:v>
                </c:pt>
                <c:pt idx="3">
                  <c:v>0</c:v>
                </c:pt>
                <c:pt idx="4">
                  <c:v>0</c:v>
                </c:pt>
              </c:numCache>
            </c:numRef>
          </c:yVal>
          <c:smooth val="0"/>
        </c:ser>
        <c:ser>
          <c:idx val="1"/>
          <c:order val="1"/>
          <c:tx>
            <c:strRef>
              <c:f>'Simulation Model'!$AF$36</c:f>
              <c:strCache>
                <c:ptCount val="1"/>
                <c:pt idx="0">
                  <c:v>Variable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Model'!$AG$36:$AK$36</c:f>
              <c:numCache>
                <c:ptCount val="5"/>
                <c:pt idx="0">
                  <c:v>0</c:v>
                </c:pt>
                <c:pt idx="1">
                  <c:v>0</c:v>
                </c:pt>
                <c:pt idx="2">
                  <c:v>0</c:v>
                </c:pt>
                <c:pt idx="3">
                  <c:v>0</c:v>
                </c:pt>
                <c:pt idx="4">
                  <c:v>0</c:v>
                </c:pt>
              </c:numCache>
            </c:numRef>
          </c:yVal>
          <c:smooth val="0"/>
        </c:ser>
        <c:ser>
          <c:idx val="2"/>
          <c:order val="2"/>
          <c:tx>
            <c:strRef>
              <c:f>'Simulation Model'!$AF$37</c:f>
              <c:strCache>
                <c:ptCount val="1"/>
                <c:pt idx="0">
                  <c:v>Total Cost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Model'!$AG$37:$AK$37</c:f>
              <c:numCache>
                <c:ptCount val="5"/>
                <c:pt idx="0">
                  <c:v>0</c:v>
                </c:pt>
                <c:pt idx="1">
                  <c:v>0</c:v>
                </c:pt>
                <c:pt idx="2">
                  <c:v>0</c:v>
                </c:pt>
                <c:pt idx="3">
                  <c:v>0</c:v>
                </c:pt>
                <c:pt idx="4">
                  <c:v>0</c:v>
                </c:pt>
              </c:numCache>
            </c:numRef>
          </c:yVal>
          <c:smooth val="0"/>
        </c:ser>
        <c:ser>
          <c:idx val="3"/>
          <c:order val="3"/>
          <c:tx>
            <c:strRef>
              <c:f>'Simulation Model'!$AF$38</c:f>
              <c:strCache>
                <c:ptCount val="1"/>
                <c:pt idx="0">
                  <c:v>Revenue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Model'!$AG$38:$AK$38</c:f>
              <c:numCache>
                <c:ptCount val="5"/>
                <c:pt idx="0">
                  <c:v>0</c:v>
                </c:pt>
                <c:pt idx="1">
                  <c:v>0</c:v>
                </c:pt>
                <c:pt idx="2">
                  <c:v>0</c:v>
                </c:pt>
                <c:pt idx="3">
                  <c:v>0</c:v>
                </c:pt>
                <c:pt idx="4">
                  <c:v>0</c:v>
                </c:pt>
              </c:numCache>
            </c:numRef>
          </c:yVal>
          <c:smooth val="0"/>
        </c:ser>
        <c:ser>
          <c:idx val="4"/>
          <c:order val="4"/>
          <c:tx>
            <c:strRef>
              <c:f>'Simulation Model'!$AF$39</c:f>
              <c:strCache>
                <c:ptCount val="1"/>
                <c:pt idx="0">
                  <c:v>BE Volume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'Simulation Model'!$AG$34:$AK$34</c:f>
              <c:numCache>
                <c:ptCount val="5"/>
                <c:pt idx="0">
                  <c:v>0</c:v>
                </c:pt>
                <c:pt idx="1">
                  <c:v>0</c:v>
                </c:pt>
                <c:pt idx="2">
                  <c:v>0</c:v>
                </c:pt>
                <c:pt idx="3">
                  <c:v>0</c:v>
                </c:pt>
                <c:pt idx="4">
                  <c:v>0</c:v>
                </c:pt>
              </c:numCache>
            </c:numRef>
          </c:xVal>
          <c:yVal>
            <c:numRef>
              <c:f>'Simulation Model'!$AG$39:$AK$39</c:f>
              <c:numCache>
                <c:ptCount val="5"/>
                <c:pt idx="0">
                  <c:v>0</c:v>
                </c:pt>
                <c:pt idx="1">
                  <c:v>0</c:v>
                </c:pt>
                <c:pt idx="2">
                  <c:v>0</c:v>
                </c:pt>
                <c:pt idx="3">
                  <c:v>0</c:v>
                </c:pt>
                <c:pt idx="4">
                  <c:v>0</c:v>
                </c:pt>
              </c:numCache>
            </c:numRef>
          </c:yVal>
          <c:smooth val="0"/>
        </c:ser>
        <c:axId val="63921716"/>
        <c:axId val="38424533"/>
      </c:scatterChart>
      <c:valAx>
        <c:axId val="63921716"/>
        <c:scaling>
          <c:orientation val="minMax"/>
        </c:scaling>
        <c:axPos val="b"/>
        <c:title>
          <c:tx>
            <c:rich>
              <a:bodyPr vert="horz" rot="0" anchor="ctr"/>
              <a:lstStyle/>
              <a:p>
                <a:pPr algn="ctr">
                  <a:defRPr/>
                </a:pPr>
                <a:r>
                  <a:rPr lang="en-US" cap="none" sz="900" b="1" i="0" u="none" baseline="0">
                    <a:latin typeface="Arial"/>
                    <a:ea typeface="Arial"/>
                    <a:cs typeface="Arial"/>
                  </a:rPr>
                  <a:t>Unit Volume (Thousands)</a:t>
                </a:r>
              </a:p>
            </c:rich>
          </c:tx>
          <c:layout/>
          <c:overlay val="0"/>
          <c:spPr>
            <a:noFill/>
            <a:ln>
              <a:noFill/>
            </a:ln>
          </c:spPr>
        </c:title>
        <c:delete val="0"/>
        <c:numFmt formatCode="General" sourceLinked="1"/>
        <c:majorTickMark val="out"/>
        <c:minorTickMark val="none"/>
        <c:tickLblPos val="nextTo"/>
        <c:crossAx val="38424533"/>
        <c:crosses val="autoZero"/>
        <c:crossBetween val="midCat"/>
        <c:dispUnits>
          <c:builtInUnit val="thousands"/>
        </c:dispUnits>
      </c:valAx>
      <c:valAx>
        <c:axId val="38424533"/>
        <c:scaling>
          <c:orientation val="minMax"/>
        </c:scaling>
        <c:axPos val="l"/>
        <c:title>
          <c:tx>
            <c:rich>
              <a:bodyPr vert="horz" rot="-5400000" anchor="ctr"/>
              <a:lstStyle/>
              <a:p>
                <a:pPr algn="ctr">
                  <a:defRPr/>
                </a:pPr>
                <a:r>
                  <a:rPr lang="en-US" cap="none" sz="900" b="1" i="0" u="none" baseline="0">
                    <a:latin typeface="Arial"/>
                    <a:ea typeface="Arial"/>
                    <a:cs typeface="Arial"/>
                  </a:rPr>
                  <a:t>US Dollars (Millions)</a:t>
                </a:r>
              </a:p>
            </c:rich>
          </c:tx>
          <c:layout/>
          <c:overlay val="0"/>
          <c:spPr>
            <a:noFill/>
            <a:ln>
              <a:noFill/>
            </a:ln>
          </c:spPr>
        </c:title>
        <c:majorGridlines/>
        <c:delete val="0"/>
        <c:numFmt formatCode="General" sourceLinked="1"/>
        <c:majorTickMark val="out"/>
        <c:minorTickMark val="none"/>
        <c:tickLblPos val="nextTo"/>
        <c:crossAx val="63921716"/>
        <c:crosses val="autoZero"/>
        <c:crossBetween val="midCat"/>
        <c:dispUnits/>
      </c:valAx>
      <c:spPr>
        <a:solidFill>
          <a:srgbClr val="C0C0C0"/>
        </a:solidFill>
        <a:ln w="12700">
          <a:solidFill>
            <a:srgbClr val="808080"/>
          </a:solidFill>
        </a:ln>
      </c:spPr>
    </c:plotArea>
    <c:legend>
      <c:legendPos val="b"/>
      <c:layout>
        <c:manualLayout>
          <c:xMode val="edge"/>
          <c:yMode val="edge"/>
          <c:x val="0.14525"/>
          <c:y val="0.8645"/>
          <c:w val="0.7985"/>
          <c:h val="0.11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0.emf" /><Relationship Id="rId3" Type="http://schemas.openxmlformats.org/officeDocument/2006/relationships/image" Target="../media/image11.emf" /><Relationship Id="rId4" Type="http://schemas.openxmlformats.org/officeDocument/2006/relationships/image" Target="../media/image18.emf" /><Relationship Id="rId5" Type="http://schemas.openxmlformats.org/officeDocument/2006/relationships/image" Target="../media/image15.emf" /><Relationship Id="rId6" Type="http://schemas.openxmlformats.org/officeDocument/2006/relationships/image" Target="../media/image7.emf" /><Relationship Id="rId7" Type="http://schemas.openxmlformats.org/officeDocument/2006/relationships/image" Target="../media/image13.emf" /><Relationship Id="rId8"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4.png" /><Relationship Id="rId3" Type="http://schemas.openxmlformats.org/officeDocument/2006/relationships/image" Target="../media/image16.png" /><Relationship Id="rId4" Type="http://schemas.openxmlformats.org/officeDocument/2006/relationships/image" Target="../media/image17.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9.png" /><Relationship Id="rId3" Type="http://schemas.openxmlformats.org/officeDocument/2006/relationships/image" Target="../media/image20.png" /><Relationship Id="rId4" Type="http://schemas.openxmlformats.org/officeDocument/2006/relationships/image" Target="../media/image2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9.png" /><Relationship Id="rId4" Type="http://schemas.openxmlformats.org/officeDocument/2006/relationships/image" Target="../media/image26.png" /></Relationships>
</file>

<file path=xl/drawings/_rels/drawing6.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25.png" /><Relationship Id="rId3" Type="http://schemas.openxmlformats.org/officeDocument/2006/relationships/image" Target="../media/image27.png" /><Relationship Id="rId4"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21.png" /><Relationship Id="rId3" Type="http://schemas.openxmlformats.org/officeDocument/2006/relationships/image" Target="../media/image22.png" /><Relationship Id="rId4" Type="http://schemas.openxmlformats.org/officeDocument/2006/relationships/image" Target="../media/image23.png" /><Relationship Id="rId5" Type="http://schemas.openxmlformats.org/officeDocument/2006/relationships/image" Target="../media/image24.png" /><Relationship Id="rId6"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21</xdr:row>
      <xdr:rowOff>0</xdr:rowOff>
    </xdr:from>
    <xdr:to>
      <xdr:col>21</xdr:col>
      <xdr:colOff>76200</xdr:colOff>
      <xdr:row>39</xdr:row>
      <xdr:rowOff>38100</xdr:rowOff>
    </xdr:to>
    <xdr:graphicFrame>
      <xdr:nvGraphicFramePr>
        <xdr:cNvPr id="1" name="Chart 1"/>
        <xdr:cNvGraphicFramePr/>
      </xdr:nvGraphicFramePr>
      <xdr:xfrm>
        <a:off x="4514850" y="2724150"/>
        <a:ext cx="3390900" cy="246697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561975</xdr:colOff>
      <xdr:row>1</xdr:row>
      <xdr:rowOff>28575</xdr:rowOff>
    </xdr:from>
    <xdr:to>
      <xdr:col>5</xdr:col>
      <xdr:colOff>409575</xdr:colOff>
      <xdr:row>3</xdr:row>
      <xdr:rowOff>66675</xdr:rowOff>
    </xdr:to>
    <xdr:pic>
      <xdr:nvPicPr>
        <xdr:cNvPr id="2" name="Picture 14"/>
        <xdr:cNvPicPr preferRelativeResize="1">
          <a:picLocks noChangeAspect="1"/>
        </xdr:cNvPicPr>
      </xdr:nvPicPr>
      <xdr:blipFill>
        <a:blip r:embed="rId2"/>
        <a:stretch>
          <a:fillRect/>
        </a:stretch>
      </xdr:blipFill>
      <xdr:spPr>
        <a:xfrm>
          <a:off x="1323975" y="123825"/>
          <a:ext cx="571500" cy="361950"/>
        </a:xfrm>
        <a:prstGeom prst="rect">
          <a:avLst/>
        </a:prstGeom>
        <a:noFill/>
        <a:ln w="9525" cmpd="sng">
          <a:noFill/>
        </a:ln>
      </xdr:spPr>
    </xdr:pic>
    <xdr:clientData/>
  </xdr:twoCellAnchor>
  <xdr:twoCellAnchor editAs="oneCell">
    <xdr:from>
      <xdr:col>1</xdr:col>
      <xdr:colOff>9525</xdr:colOff>
      <xdr:row>1</xdr:row>
      <xdr:rowOff>9525</xdr:rowOff>
    </xdr:from>
    <xdr:to>
      <xdr:col>3</xdr:col>
      <xdr:colOff>66675</xdr:colOff>
      <xdr:row>4</xdr:row>
      <xdr:rowOff>0</xdr:rowOff>
    </xdr:to>
    <xdr:pic>
      <xdr:nvPicPr>
        <xdr:cNvPr id="3" name="Picture 15"/>
        <xdr:cNvPicPr preferRelativeResize="1">
          <a:picLocks noChangeAspect="1"/>
        </xdr:cNvPicPr>
      </xdr:nvPicPr>
      <xdr:blipFill>
        <a:blip r:embed="rId3"/>
        <a:stretch>
          <a:fillRect/>
        </a:stretch>
      </xdr:blipFill>
      <xdr:spPr>
        <a:xfrm>
          <a:off x="123825" y="104775"/>
          <a:ext cx="409575" cy="390525"/>
        </a:xfrm>
        <a:prstGeom prst="rect">
          <a:avLst/>
        </a:prstGeom>
        <a:noFill/>
        <a:ln w="9525" cmpd="sng">
          <a:noFill/>
        </a:ln>
      </xdr:spPr>
    </xdr:pic>
    <xdr:clientData/>
  </xdr:twoCellAnchor>
  <xdr:twoCellAnchor editAs="oneCell">
    <xdr:from>
      <xdr:col>3</xdr:col>
      <xdr:colOff>276225</xdr:colOff>
      <xdr:row>6</xdr:row>
      <xdr:rowOff>161925</xdr:rowOff>
    </xdr:from>
    <xdr:to>
      <xdr:col>4</xdr:col>
      <xdr:colOff>714375</xdr:colOff>
      <xdr:row>8</xdr:row>
      <xdr:rowOff>9525</xdr:rowOff>
    </xdr:to>
    <xdr:pic>
      <xdr:nvPicPr>
        <xdr:cNvPr id="4" name="OptionButton1"/>
        <xdr:cNvPicPr preferRelativeResize="1">
          <a:picLocks noChangeAspect="1"/>
        </xdr:cNvPicPr>
      </xdr:nvPicPr>
      <xdr:blipFill>
        <a:blip r:embed="rId4"/>
        <a:stretch>
          <a:fillRect/>
        </a:stretch>
      </xdr:blipFill>
      <xdr:spPr>
        <a:xfrm>
          <a:off x="742950" y="904875"/>
          <a:ext cx="733425" cy="180975"/>
        </a:xfrm>
        <a:prstGeom prst="rect">
          <a:avLst/>
        </a:prstGeom>
        <a:noFill/>
        <a:ln w="9525" cmpd="sng">
          <a:noFill/>
        </a:ln>
      </xdr:spPr>
    </xdr:pic>
    <xdr:clientData/>
  </xdr:twoCellAnchor>
  <xdr:twoCellAnchor editAs="oneCell">
    <xdr:from>
      <xdr:col>3</xdr:col>
      <xdr:colOff>276225</xdr:colOff>
      <xdr:row>8</xdr:row>
      <xdr:rowOff>9525</xdr:rowOff>
    </xdr:from>
    <xdr:to>
      <xdr:col>4</xdr:col>
      <xdr:colOff>714375</xdr:colOff>
      <xdr:row>8</xdr:row>
      <xdr:rowOff>171450</xdr:rowOff>
    </xdr:to>
    <xdr:pic>
      <xdr:nvPicPr>
        <xdr:cNvPr id="5" name="OptionButton2"/>
        <xdr:cNvPicPr preferRelativeResize="1">
          <a:picLocks noChangeAspect="1"/>
        </xdr:cNvPicPr>
      </xdr:nvPicPr>
      <xdr:blipFill>
        <a:blip r:embed="rId5"/>
        <a:stretch>
          <a:fillRect/>
        </a:stretch>
      </xdr:blipFill>
      <xdr:spPr>
        <a:xfrm>
          <a:off x="742950" y="1085850"/>
          <a:ext cx="733425" cy="161925"/>
        </a:xfrm>
        <a:prstGeom prst="rect">
          <a:avLst/>
        </a:prstGeom>
        <a:noFill/>
        <a:ln w="9525" cmpd="sng">
          <a:noFill/>
        </a:ln>
      </xdr:spPr>
    </xdr:pic>
    <xdr:clientData/>
  </xdr:twoCellAnchor>
  <xdr:twoCellAnchor editAs="oneCell">
    <xdr:from>
      <xdr:col>6</xdr:col>
      <xdr:colOff>47625</xdr:colOff>
      <xdr:row>20</xdr:row>
      <xdr:rowOff>28575</xdr:rowOff>
    </xdr:from>
    <xdr:to>
      <xdr:col>6</xdr:col>
      <xdr:colOff>295275</xdr:colOff>
      <xdr:row>22</xdr:row>
      <xdr:rowOff>28575</xdr:rowOff>
    </xdr:to>
    <xdr:pic>
      <xdr:nvPicPr>
        <xdr:cNvPr id="6" name="OptionButton3"/>
        <xdr:cNvPicPr preferRelativeResize="1">
          <a:picLocks noChangeAspect="1"/>
        </xdr:cNvPicPr>
      </xdr:nvPicPr>
      <xdr:blipFill>
        <a:blip r:embed="rId6"/>
        <a:stretch>
          <a:fillRect/>
        </a:stretch>
      </xdr:blipFill>
      <xdr:spPr>
        <a:xfrm>
          <a:off x="1990725" y="2676525"/>
          <a:ext cx="247650" cy="247650"/>
        </a:xfrm>
        <a:prstGeom prst="rect">
          <a:avLst/>
        </a:prstGeom>
        <a:noFill/>
        <a:ln w="9525" cmpd="sng">
          <a:noFill/>
        </a:ln>
      </xdr:spPr>
    </xdr:pic>
    <xdr:clientData/>
  </xdr:twoCellAnchor>
  <xdr:twoCellAnchor editAs="oneCell">
    <xdr:from>
      <xdr:col>7</xdr:col>
      <xdr:colOff>200025</xdr:colOff>
      <xdr:row>20</xdr:row>
      <xdr:rowOff>28575</xdr:rowOff>
    </xdr:from>
    <xdr:to>
      <xdr:col>7</xdr:col>
      <xdr:colOff>447675</xdr:colOff>
      <xdr:row>22</xdr:row>
      <xdr:rowOff>28575</xdr:rowOff>
    </xdr:to>
    <xdr:pic>
      <xdr:nvPicPr>
        <xdr:cNvPr id="7" name="OptionButton4"/>
        <xdr:cNvPicPr preferRelativeResize="1">
          <a:picLocks noChangeAspect="1"/>
        </xdr:cNvPicPr>
      </xdr:nvPicPr>
      <xdr:blipFill>
        <a:blip r:embed="rId6"/>
        <a:stretch>
          <a:fillRect/>
        </a:stretch>
      </xdr:blipFill>
      <xdr:spPr>
        <a:xfrm>
          <a:off x="2447925" y="2676525"/>
          <a:ext cx="247650" cy="247650"/>
        </a:xfrm>
        <a:prstGeom prst="rect">
          <a:avLst/>
        </a:prstGeom>
        <a:noFill/>
        <a:ln w="9525" cmpd="sng">
          <a:noFill/>
        </a:ln>
      </xdr:spPr>
    </xdr:pic>
    <xdr:clientData/>
  </xdr:twoCellAnchor>
  <xdr:twoCellAnchor editAs="oneCell">
    <xdr:from>
      <xdr:col>6</xdr:col>
      <xdr:colOff>47625</xdr:colOff>
      <xdr:row>22</xdr:row>
      <xdr:rowOff>76200</xdr:rowOff>
    </xdr:from>
    <xdr:to>
      <xdr:col>6</xdr:col>
      <xdr:colOff>295275</xdr:colOff>
      <xdr:row>24</xdr:row>
      <xdr:rowOff>47625</xdr:rowOff>
    </xdr:to>
    <xdr:pic>
      <xdr:nvPicPr>
        <xdr:cNvPr id="8" name="OptionButton5"/>
        <xdr:cNvPicPr preferRelativeResize="1">
          <a:picLocks noChangeAspect="1"/>
        </xdr:cNvPicPr>
      </xdr:nvPicPr>
      <xdr:blipFill>
        <a:blip r:embed="rId6"/>
        <a:stretch>
          <a:fillRect/>
        </a:stretch>
      </xdr:blipFill>
      <xdr:spPr>
        <a:xfrm>
          <a:off x="1990725" y="2971800"/>
          <a:ext cx="247650" cy="247650"/>
        </a:xfrm>
        <a:prstGeom prst="rect">
          <a:avLst/>
        </a:prstGeom>
        <a:noFill/>
        <a:ln w="9525" cmpd="sng">
          <a:noFill/>
        </a:ln>
      </xdr:spPr>
    </xdr:pic>
    <xdr:clientData/>
  </xdr:twoCellAnchor>
  <xdr:twoCellAnchor editAs="oneCell">
    <xdr:from>
      <xdr:col>7</xdr:col>
      <xdr:colOff>200025</xdr:colOff>
      <xdr:row>22</xdr:row>
      <xdr:rowOff>76200</xdr:rowOff>
    </xdr:from>
    <xdr:to>
      <xdr:col>7</xdr:col>
      <xdr:colOff>447675</xdr:colOff>
      <xdr:row>24</xdr:row>
      <xdr:rowOff>47625</xdr:rowOff>
    </xdr:to>
    <xdr:pic>
      <xdr:nvPicPr>
        <xdr:cNvPr id="9" name="OptionButton6"/>
        <xdr:cNvPicPr preferRelativeResize="1">
          <a:picLocks noChangeAspect="1"/>
        </xdr:cNvPicPr>
      </xdr:nvPicPr>
      <xdr:blipFill>
        <a:blip r:embed="rId6"/>
        <a:stretch>
          <a:fillRect/>
        </a:stretch>
      </xdr:blipFill>
      <xdr:spPr>
        <a:xfrm>
          <a:off x="2447925" y="2971800"/>
          <a:ext cx="247650" cy="247650"/>
        </a:xfrm>
        <a:prstGeom prst="rect">
          <a:avLst/>
        </a:prstGeom>
        <a:noFill/>
        <a:ln w="9525" cmpd="sng">
          <a:noFill/>
        </a:ln>
      </xdr:spPr>
    </xdr:pic>
    <xdr:clientData/>
  </xdr:twoCellAnchor>
  <xdr:twoCellAnchor editAs="oneCell">
    <xdr:from>
      <xdr:col>6</xdr:col>
      <xdr:colOff>47625</xdr:colOff>
      <xdr:row>24</xdr:row>
      <xdr:rowOff>85725</xdr:rowOff>
    </xdr:from>
    <xdr:to>
      <xdr:col>6</xdr:col>
      <xdr:colOff>295275</xdr:colOff>
      <xdr:row>26</xdr:row>
      <xdr:rowOff>57150</xdr:rowOff>
    </xdr:to>
    <xdr:pic>
      <xdr:nvPicPr>
        <xdr:cNvPr id="10" name="OptionButton7"/>
        <xdr:cNvPicPr preferRelativeResize="1">
          <a:picLocks noChangeAspect="1"/>
        </xdr:cNvPicPr>
      </xdr:nvPicPr>
      <xdr:blipFill>
        <a:blip r:embed="rId6"/>
        <a:stretch>
          <a:fillRect/>
        </a:stretch>
      </xdr:blipFill>
      <xdr:spPr>
        <a:xfrm>
          <a:off x="1990725" y="3257550"/>
          <a:ext cx="247650" cy="247650"/>
        </a:xfrm>
        <a:prstGeom prst="rect">
          <a:avLst/>
        </a:prstGeom>
        <a:noFill/>
        <a:ln w="9525" cmpd="sng">
          <a:noFill/>
        </a:ln>
      </xdr:spPr>
    </xdr:pic>
    <xdr:clientData/>
  </xdr:twoCellAnchor>
  <xdr:twoCellAnchor editAs="oneCell">
    <xdr:from>
      <xdr:col>7</xdr:col>
      <xdr:colOff>200025</xdr:colOff>
      <xdr:row>24</xdr:row>
      <xdr:rowOff>85725</xdr:rowOff>
    </xdr:from>
    <xdr:to>
      <xdr:col>7</xdr:col>
      <xdr:colOff>447675</xdr:colOff>
      <xdr:row>26</xdr:row>
      <xdr:rowOff>57150</xdr:rowOff>
    </xdr:to>
    <xdr:pic>
      <xdr:nvPicPr>
        <xdr:cNvPr id="11" name="OptionButton8"/>
        <xdr:cNvPicPr preferRelativeResize="1">
          <a:picLocks noChangeAspect="1"/>
        </xdr:cNvPicPr>
      </xdr:nvPicPr>
      <xdr:blipFill>
        <a:blip r:embed="rId6"/>
        <a:stretch>
          <a:fillRect/>
        </a:stretch>
      </xdr:blipFill>
      <xdr:spPr>
        <a:xfrm>
          <a:off x="2447925" y="3257550"/>
          <a:ext cx="247650" cy="247650"/>
        </a:xfrm>
        <a:prstGeom prst="rect">
          <a:avLst/>
        </a:prstGeom>
        <a:noFill/>
        <a:ln w="9525" cmpd="sng">
          <a:noFill/>
        </a:ln>
      </xdr:spPr>
    </xdr:pic>
    <xdr:clientData/>
  </xdr:twoCellAnchor>
  <xdr:twoCellAnchor editAs="oneCell">
    <xdr:from>
      <xdr:col>6</xdr:col>
      <xdr:colOff>47625</xdr:colOff>
      <xdr:row>26</xdr:row>
      <xdr:rowOff>95250</xdr:rowOff>
    </xdr:from>
    <xdr:to>
      <xdr:col>6</xdr:col>
      <xdr:colOff>295275</xdr:colOff>
      <xdr:row>28</xdr:row>
      <xdr:rowOff>66675</xdr:rowOff>
    </xdr:to>
    <xdr:pic>
      <xdr:nvPicPr>
        <xdr:cNvPr id="12" name="OptionButton9"/>
        <xdr:cNvPicPr preferRelativeResize="1">
          <a:picLocks noChangeAspect="1"/>
        </xdr:cNvPicPr>
      </xdr:nvPicPr>
      <xdr:blipFill>
        <a:blip r:embed="rId6"/>
        <a:stretch>
          <a:fillRect/>
        </a:stretch>
      </xdr:blipFill>
      <xdr:spPr>
        <a:xfrm>
          <a:off x="1990725" y="3543300"/>
          <a:ext cx="247650" cy="247650"/>
        </a:xfrm>
        <a:prstGeom prst="rect">
          <a:avLst/>
        </a:prstGeom>
        <a:noFill/>
        <a:ln w="9525" cmpd="sng">
          <a:noFill/>
        </a:ln>
      </xdr:spPr>
    </xdr:pic>
    <xdr:clientData/>
  </xdr:twoCellAnchor>
  <xdr:twoCellAnchor editAs="oneCell">
    <xdr:from>
      <xdr:col>7</xdr:col>
      <xdr:colOff>200025</xdr:colOff>
      <xdr:row>26</xdr:row>
      <xdr:rowOff>95250</xdr:rowOff>
    </xdr:from>
    <xdr:to>
      <xdr:col>7</xdr:col>
      <xdr:colOff>447675</xdr:colOff>
      <xdr:row>28</xdr:row>
      <xdr:rowOff>66675</xdr:rowOff>
    </xdr:to>
    <xdr:pic>
      <xdr:nvPicPr>
        <xdr:cNvPr id="13" name="OptionButton10"/>
        <xdr:cNvPicPr preferRelativeResize="1">
          <a:picLocks noChangeAspect="1"/>
        </xdr:cNvPicPr>
      </xdr:nvPicPr>
      <xdr:blipFill>
        <a:blip r:embed="rId6"/>
        <a:stretch>
          <a:fillRect/>
        </a:stretch>
      </xdr:blipFill>
      <xdr:spPr>
        <a:xfrm>
          <a:off x="2447925" y="3543300"/>
          <a:ext cx="247650" cy="247650"/>
        </a:xfrm>
        <a:prstGeom prst="rect">
          <a:avLst/>
        </a:prstGeom>
        <a:noFill/>
        <a:ln w="9525" cmpd="sng">
          <a:noFill/>
        </a:ln>
      </xdr:spPr>
    </xdr:pic>
    <xdr:clientData/>
  </xdr:twoCellAnchor>
  <xdr:twoCellAnchor editAs="oneCell">
    <xdr:from>
      <xdr:col>6</xdr:col>
      <xdr:colOff>47625</xdr:colOff>
      <xdr:row>29</xdr:row>
      <xdr:rowOff>0</xdr:rowOff>
    </xdr:from>
    <xdr:to>
      <xdr:col>6</xdr:col>
      <xdr:colOff>295275</xdr:colOff>
      <xdr:row>30</xdr:row>
      <xdr:rowOff>76200</xdr:rowOff>
    </xdr:to>
    <xdr:pic>
      <xdr:nvPicPr>
        <xdr:cNvPr id="14" name="OptionButton11"/>
        <xdr:cNvPicPr preferRelativeResize="1">
          <a:picLocks noChangeAspect="1"/>
        </xdr:cNvPicPr>
      </xdr:nvPicPr>
      <xdr:blipFill>
        <a:blip r:embed="rId6"/>
        <a:stretch>
          <a:fillRect/>
        </a:stretch>
      </xdr:blipFill>
      <xdr:spPr>
        <a:xfrm>
          <a:off x="1990725" y="3829050"/>
          <a:ext cx="247650" cy="247650"/>
        </a:xfrm>
        <a:prstGeom prst="rect">
          <a:avLst/>
        </a:prstGeom>
        <a:noFill/>
        <a:ln w="9525" cmpd="sng">
          <a:noFill/>
        </a:ln>
      </xdr:spPr>
    </xdr:pic>
    <xdr:clientData/>
  </xdr:twoCellAnchor>
  <xdr:twoCellAnchor editAs="oneCell">
    <xdr:from>
      <xdr:col>7</xdr:col>
      <xdr:colOff>200025</xdr:colOff>
      <xdr:row>29</xdr:row>
      <xdr:rowOff>0</xdr:rowOff>
    </xdr:from>
    <xdr:to>
      <xdr:col>7</xdr:col>
      <xdr:colOff>447675</xdr:colOff>
      <xdr:row>30</xdr:row>
      <xdr:rowOff>76200</xdr:rowOff>
    </xdr:to>
    <xdr:pic>
      <xdr:nvPicPr>
        <xdr:cNvPr id="15" name="OptionButton12"/>
        <xdr:cNvPicPr preferRelativeResize="1">
          <a:picLocks noChangeAspect="1"/>
        </xdr:cNvPicPr>
      </xdr:nvPicPr>
      <xdr:blipFill>
        <a:blip r:embed="rId6"/>
        <a:stretch>
          <a:fillRect/>
        </a:stretch>
      </xdr:blipFill>
      <xdr:spPr>
        <a:xfrm>
          <a:off x="2447925" y="3829050"/>
          <a:ext cx="247650" cy="247650"/>
        </a:xfrm>
        <a:prstGeom prst="rect">
          <a:avLst/>
        </a:prstGeom>
        <a:noFill/>
        <a:ln w="9525" cmpd="sng">
          <a:noFill/>
        </a:ln>
      </xdr:spPr>
    </xdr:pic>
    <xdr:clientData/>
  </xdr:twoCellAnchor>
  <xdr:twoCellAnchor editAs="oneCell">
    <xdr:from>
      <xdr:col>6</xdr:col>
      <xdr:colOff>47625</xdr:colOff>
      <xdr:row>31</xdr:row>
      <xdr:rowOff>0</xdr:rowOff>
    </xdr:from>
    <xdr:to>
      <xdr:col>6</xdr:col>
      <xdr:colOff>295275</xdr:colOff>
      <xdr:row>32</xdr:row>
      <xdr:rowOff>76200</xdr:rowOff>
    </xdr:to>
    <xdr:pic>
      <xdr:nvPicPr>
        <xdr:cNvPr id="16" name="OptionButton13"/>
        <xdr:cNvPicPr preferRelativeResize="1">
          <a:picLocks noChangeAspect="1"/>
        </xdr:cNvPicPr>
      </xdr:nvPicPr>
      <xdr:blipFill>
        <a:blip r:embed="rId6"/>
        <a:stretch>
          <a:fillRect/>
        </a:stretch>
      </xdr:blipFill>
      <xdr:spPr>
        <a:xfrm>
          <a:off x="1990725" y="4105275"/>
          <a:ext cx="247650" cy="247650"/>
        </a:xfrm>
        <a:prstGeom prst="rect">
          <a:avLst/>
        </a:prstGeom>
        <a:noFill/>
        <a:ln w="9525" cmpd="sng">
          <a:noFill/>
        </a:ln>
      </xdr:spPr>
    </xdr:pic>
    <xdr:clientData/>
  </xdr:twoCellAnchor>
  <xdr:twoCellAnchor editAs="oneCell">
    <xdr:from>
      <xdr:col>7</xdr:col>
      <xdr:colOff>200025</xdr:colOff>
      <xdr:row>31</xdr:row>
      <xdr:rowOff>0</xdr:rowOff>
    </xdr:from>
    <xdr:to>
      <xdr:col>7</xdr:col>
      <xdr:colOff>447675</xdr:colOff>
      <xdr:row>32</xdr:row>
      <xdr:rowOff>76200</xdr:rowOff>
    </xdr:to>
    <xdr:pic>
      <xdr:nvPicPr>
        <xdr:cNvPr id="17" name="OptionButton14"/>
        <xdr:cNvPicPr preferRelativeResize="1">
          <a:picLocks noChangeAspect="1"/>
        </xdr:cNvPicPr>
      </xdr:nvPicPr>
      <xdr:blipFill>
        <a:blip r:embed="rId6"/>
        <a:stretch>
          <a:fillRect/>
        </a:stretch>
      </xdr:blipFill>
      <xdr:spPr>
        <a:xfrm>
          <a:off x="2447925" y="4105275"/>
          <a:ext cx="247650" cy="247650"/>
        </a:xfrm>
        <a:prstGeom prst="rect">
          <a:avLst/>
        </a:prstGeom>
        <a:noFill/>
        <a:ln w="9525" cmpd="sng">
          <a:noFill/>
        </a:ln>
      </xdr:spPr>
    </xdr:pic>
    <xdr:clientData/>
  </xdr:twoCellAnchor>
  <xdr:twoCellAnchor editAs="oneCell">
    <xdr:from>
      <xdr:col>6</xdr:col>
      <xdr:colOff>47625</xdr:colOff>
      <xdr:row>33</xdr:row>
      <xdr:rowOff>0</xdr:rowOff>
    </xdr:from>
    <xdr:to>
      <xdr:col>6</xdr:col>
      <xdr:colOff>295275</xdr:colOff>
      <xdr:row>34</xdr:row>
      <xdr:rowOff>76200</xdr:rowOff>
    </xdr:to>
    <xdr:pic>
      <xdr:nvPicPr>
        <xdr:cNvPr id="18" name="OptionButton15"/>
        <xdr:cNvPicPr preferRelativeResize="1">
          <a:picLocks noChangeAspect="1"/>
        </xdr:cNvPicPr>
      </xdr:nvPicPr>
      <xdr:blipFill>
        <a:blip r:embed="rId6"/>
        <a:stretch>
          <a:fillRect/>
        </a:stretch>
      </xdr:blipFill>
      <xdr:spPr>
        <a:xfrm>
          <a:off x="1990725" y="4381500"/>
          <a:ext cx="247650" cy="247650"/>
        </a:xfrm>
        <a:prstGeom prst="rect">
          <a:avLst/>
        </a:prstGeom>
        <a:noFill/>
        <a:ln w="9525" cmpd="sng">
          <a:noFill/>
        </a:ln>
      </xdr:spPr>
    </xdr:pic>
    <xdr:clientData/>
  </xdr:twoCellAnchor>
  <xdr:twoCellAnchor editAs="oneCell">
    <xdr:from>
      <xdr:col>7</xdr:col>
      <xdr:colOff>200025</xdr:colOff>
      <xdr:row>33</xdr:row>
      <xdr:rowOff>0</xdr:rowOff>
    </xdr:from>
    <xdr:to>
      <xdr:col>7</xdr:col>
      <xdr:colOff>447675</xdr:colOff>
      <xdr:row>34</xdr:row>
      <xdr:rowOff>76200</xdr:rowOff>
    </xdr:to>
    <xdr:pic>
      <xdr:nvPicPr>
        <xdr:cNvPr id="19" name="OptionButton16"/>
        <xdr:cNvPicPr preferRelativeResize="1">
          <a:picLocks noChangeAspect="1"/>
        </xdr:cNvPicPr>
      </xdr:nvPicPr>
      <xdr:blipFill>
        <a:blip r:embed="rId6"/>
        <a:stretch>
          <a:fillRect/>
        </a:stretch>
      </xdr:blipFill>
      <xdr:spPr>
        <a:xfrm>
          <a:off x="2447925" y="4381500"/>
          <a:ext cx="247650" cy="247650"/>
        </a:xfrm>
        <a:prstGeom prst="rect">
          <a:avLst/>
        </a:prstGeom>
        <a:noFill/>
        <a:ln w="9525" cmpd="sng">
          <a:noFill/>
        </a:ln>
      </xdr:spPr>
    </xdr:pic>
    <xdr:clientData/>
  </xdr:twoCellAnchor>
  <xdr:twoCellAnchor editAs="oneCell">
    <xdr:from>
      <xdr:col>6</xdr:col>
      <xdr:colOff>47625</xdr:colOff>
      <xdr:row>7</xdr:row>
      <xdr:rowOff>0</xdr:rowOff>
    </xdr:from>
    <xdr:to>
      <xdr:col>7</xdr:col>
      <xdr:colOff>571500</xdr:colOff>
      <xdr:row>8</xdr:row>
      <xdr:rowOff>9525</xdr:rowOff>
    </xdr:to>
    <xdr:pic>
      <xdr:nvPicPr>
        <xdr:cNvPr id="20" name="ScrollBar1"/>
        <xdr:cNvPicPr preferRelativeResize="1">
          <a:picLocks noChangeAspect="1"/>
        </xdr:cNvPicPr>
      </xdr:nvPicPr>
      <xdr:blipFill>
        <a:blip r:embed="rId7"/>
        <a:stretch>
          <a:fillRect/>
        </a:stretch>
      </xdr:blipFill>
      <xdr:spPr>
        <a:xfrm>
          <a:off x="1990725" y="914400"/>
          <a:ext cx="828675" cy="171450"/>
        </a:xfrm>
        <a:prstGeom prst="rect">
          <a:avLst/>
        </a:prstGeom>
        <a:noFill/>
        <a:ln w="9525" cmpd="sng">
          <a:noFill/>
        </a:ln>
      </xdr:spPr>
    </xdr:pic>
    <xdr:clientData/>
  </xdr:twoCellAnchor>
  <xdr:twoCellAnchor editAs="oneCell">
    <xdr:from>
      <xdr:col>9</xdr:col>
      <xdr:colOff>314325</xdr:colOff>
      <xdr:row>6</xdr:row>
      <xdr:rowOff>161925</xdr:rowOff>
    </xdr:from>
    <xdr:to>
      <xdr:col>11</xdr:col>
      <xdr:colOff>142875</xdr:colOff>
      <xdr:row>8</xdr:row>
      <xdr:rowOff>0</xdr:rowOff>
    </xdr:to>
    <xdr:pic>
      <xdr:nvPicPr>
        <xdr:cNvPr id="21" name="ScrollBar2"/>
        <xdr:cNvPicPr preferRelativeResize="1">
          <a:picLocks noChangeAspect="1"/>
        </xdr:cNvPicPr>
      </xdr:nvPicPr>
      <xdr:blipFill>
        <a:blip r:embed="rId7"/>
        <a:stretch>
          <a:fillRect/>
        </a:stretch>
      </xdr:blipFill>
      <xdr:spPr>
        <a:xfrm>
          <a:off x="3629025" y="904875"/>
          <a:ext cx="828675" cy="171450"/>
        </a:xfrm>
        <a:prstGeom prst="rect">
          <a:avLst/>
        </a:prstGeom>
        <a:noFill/>
        <a:ln w="9525" cmpd="sng">
          <a:noFill/>
        </a:ln>
      </xdr:spPr>
    </xdr:pic>
    <xdr:clientData/>
  </xdr:twoCellAnchor>
  <xdr:twoCellAnchor editAs="oneCell">
    <xdr:from>
      <xdr:col>16</xdr:col>
      <xdr:colOff>9525</xdr:colOff>
      <xdr:row>1</xdr:row>
      <xdr:rowOff>57150</xdr:rowOff>
    </xdr:from>
    <xdr:to>
      <xdr:col>22</xdr:col>
      <xdr:colOff>95250</xdr:colOff>
      <xdr:row>4</xdr:row>
      <xdr:rowOff>19050</xdr:rowOff>
    </xdr:to>
    <xdr:pic>
      <xdr:nvPicPr>
        <xdr:cNvPr id="22" name="Picture 48"/>
        <xdr:cNvPicPr preferRelativeResize="1">
          <a:picLocks noChangeAspect="1"/>
        </xdr:cNvPicPr>
      </xdr:nvPicPr>
      <xdr:blipFill>
        <a:blip r:embed="rId8"/>
        <a:stretch>
          <a:fillRect/>
        </a:stretch>
      </xdr:blipFill>
      <xdr:spPr>
        <a:xfrm>
          <a:off x="5495925" y="152400"/>
          <a:ext cx="25812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219075</xdr:colOff>
      <xdr:row>17</xdr:row>
      <xdr:rowOff>76200</xdr:rowOff>
    </xdr:from>
    <xdr:to>
      <xdr:col>35</xdr:col>
      <xdr:colOff>57150</xdr:colOff>
      <xdr:row>35</xdr:row>
      <xdr:rowOff>66675</xdr:rowOff>
    </xdr:to>
    <xdr:graphicFrame>
      <xdr:nvGraphicFramePr>
        <xdr:cNvPr id="1" name="Chart 1"/>
        <xdr:cNvGraphicFramePr/>
      </xdr:nvGraphicFramePr>
      <xdr:xfrm>
        <a:off x="6057900" y="2800350"/>
        <a:ext cx="3552825" cy="2952750"/>
      </xdr:xfrm>
      <a:graphic>
        <a:graphicData uri="http://schemas.openxmlformats.org/drawingml/2006/chart">
          <c:chart xmlns:c="http://schemas.openxmlformats.org/drawingml/2006/chart" r:id="rId1"/>
        </a:graphicData>
      </a:graphic>
    </xdr:graphicFrame>
    <xdr:clientData/>
  </xdr:twoCellAnchor>
  <xdr:twoCellAnchor editAs="oneCell">
    <xdr:from>
      <xdr:col>3</xdr:col>
      <xdr:colOff>47625</xdr:colOff>
      <xdr:row>21</xdr:row>
      <xdr:rowOff>9525</xdr:rowOff>
    </xdr:from>
    <xdr:to>
      <xdr:col>6</xdr:col>
      <xdr:colOff>123825</xdr:colOff>
      <xdr:row>26</xdr:row>
      <xdr:rowOff>152400</xdr:rowOff>
    </xdr:to>
    <xdr:pic>
      <xdr:nvPicPr>
        <xdr:cNvPr id="2" name="Picture 5"/>
        <xdr:cNvPicPr preferRelativeResize="1">
          <a:picLocks noChangeAspect="1"/>
        </xdr:cNvPicPr>
      </xdr:nvPicPr>
      <xdr:blipFill>
        <a:blip r:embed="rId2"/>
        <a:stretch>
          <a:fillRect/>
        </a:stretch>
      </xdr:blipFill>
      <xdr:spPr>
        <a:xfrm>
          <a:off x="638175" y="3400425"/>
          <a:ext cx="933450" cy="952500"/>
        </a:xfrm>
        <a:prstGeom prst="rect">
          <a:avLst/>
        </a:prstGeom>
        <a:noFill/>
        <a:ln w="9525" cmpd="sng">
          <a:noFill/>
        </a:ln>
      </xdr:spPr>
    </xdr:pic>
    <xdr:clientData/>
  </xdr:twoCellAnchor>
  <xdr:twoCellAnchor editAs="oneCell">
    <xdr:from>
      <xdr:col>3</xdr:col>
      <xdr:colOff>9525</xdr:colOff>
      <xdr:row>37</xdr:row>
      <xdr:rowOff>28575</xdr:rowOff>
    </xdr:from>
    <xdr:to>
      <xdr:col>6</xdr:col>
      <xdr:colOff>0</xdr:colOff>
      <xdr:row>43</xdr:row>
      <xdr:rowOff>9525</xdr:rowOff>
    </xdr:to>
    <xdr:pic>
      <xdr:nvPicPr>
        <xdr:cNvPr id="3" name="Picture 6"/>
        <xdr:cNvPicPr preferRelativeResize="1">
          <a:picLocks noChangeAspect="1"/>
        </xdr:cNvPicPr>
      </xdr:nvPicPr>
      <xdr:blipFill>
        <a:blip r:embed="rId3"/>
        <a:stretch>
          <a:fillRect/>
        </a:stretch>
      </xdr:blipFill>
      <xdr:spPr>
        <a:xfrm>
          <a:off x="600075" y="6048375"/>
          <a:ext cx="847725" cy="962025"/>
        </a:xfrm>
        <a:prstGeom prst="rect">
          <a:avLst/>
        </a:prstGeom>
        <a:noFill/>
        <a:ln w="9525" cmpd="sng">
          <a:noFill/>
        </a:ln>
      </xdr:spPr>
    </xdr:pic>
    <xdr:clientData/>
  </xdr:twoCellAnchor>
  <xdr:twoCellAnchor editAs="oneCell">
    <xdr:from>
      <xdr:col>3</xdr:col>
      <xdr:colOff>28575</xdr:colOff>
      <xdr:row>29</xdr:row>
      <xdr:rowOff>28575</xdr:rowOff>
    </xdr:from>
    <xdr:to>
      <xdr:col>7</xdr:col>
      <xdr:colOff>0</xdr:colOff>
      <xdr:row>35</xdr:row>
      <xdr:rowOff>0</xdr:rowOff>
    </xdr:to>
    <xdr:pic>
      <xdr:nvPicPr>
        <xdr:cNvPr id="4" name="Picture 7"/>
        <xdr:cNvPicPr preferRelativeResize="1">
          <a:picLocks noChangeAspect="1"/>
        </xdr:cNvPicPr>
      </xdr:nvPicPr>
      <xdr:blipFill>
        <a:blip r:embed="rId4"/>
        <a:stretch>
          <a:fillRect/>
        </a:stretch>
      </xdr:blipFill>
      <xdr:spPr>
        <a:xfrm>
          <a:off x="619125" y="4733925"/>
          <a:ext cx="111442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7</xdr:row>
      <xdr:rowOff>0</xdr:rowOff>
    </xdr:from>
    <xdr:to>
      <xdr:col>37</xdr:col>
      <xdr:colOff>9525</xdr:colOff>
      <xdr:row>29</xdr:row>
      <xdr:rowOff>114300</xdr:rowOff>
    </xdr:to>
    <xdr:graphicFrame>
      <xdr:nvGraphicFramePr>
        <xdr:cNvPr id="1" name="Chart 8"/>
        <xdr:cNvGraphicFramePr/>
      </xdr:nvGraphicFramePr>
      <xdr:xfrm>
        <a:off x="29489400" y="1400175"/>
        <a:ext cx="4800600" cy="4514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13</xdr:row>
      <xdr:rowOff>19050</xdr:rowOff>
    </xdr:from>
    <xdr:to>
      <xdr:col>7</xdr:col>
      <xdr:colOff>542925</xdr:colOff>
      <xdr:row>23</xdr:row>
      <xdr:rowOff>9525</xdr:rowOff>
    </xdr:to>
    <xdr:pic>
      <xdr:nvPicPr>
        <xdr:cNvPr id="1" name="Picture 3"/>
        <xdr:cNvPicPr preferRelativeResize="1">
          <a:picLocks noChangeAspect="1"/>
        </xdr:cNvPicPr>
      </xdr:nvPicPr>
      <xdr:blipFill>
        <a:blip r:embed="rId1"/>
        <a:stretch>
          <a:fillRect/>
        </a:stretch>
      </xdr:blipFill>
      <xdr:spPr>
        <a:xfrm>
          <a:off x="0" y="2181225"/>
          <a:ext cx="5076825" cy="1609725"/>
        </a:xfrm>
        <a:prstGeom prst="rect">
          <a:avLst/>
        </a:prstGeom>
        <a:noFill/>
        <a:ln w="9525" cmpd="sng">
          <a:noFill/>
        </a:ln>
      </xdr:spPr>
    </xdr:pic>
    <xdr:clientData/>
  </xdr:twoCellAnchor>
  <xdr:twoCellAnchor editAs="oneCell">
    <xdr:from>
      <xdr:col>0</xdr:col>
      <xdr:colOff>0</xdr:colOff>
      <xdr:row>0</xdr:row>
      <xdr:rowOff>0</xdr:rowOff>
    </xdr:from>
    <xdr:to>
      <xdr:col>1</xdr:col>
      <xdr:colOff>676275</xdr:colOff>
      <xdr:row>23</xdr:row>
      <xdr:rowOff>9525</xdr:rowOff>
    </xdr:to>
    <xdr:pic>
      <xdr:nvPicPr>
        <xdr:cNvPr id="2" name="Picture 4"/>
        <xdr:cNvPicPr preferRelativeResize="1">
          <a:picLocks noChangeAspect="1"/>
        </xdr:cNvPicPr>
      </xdr:nvPicPr>
      <xdr:blipFill>
        <a:blip r:embed="rId2"/>
        <a:stretch>
          <a:fillRect/>
        </a:stretch>
      </xdr:blipFill>
      <xdr:spPr>
        <a:xfrm>
          <a:off x="0" y="0"/>
          <a:ext cx="1285875" cy="3790950"/>
        </a:xfrm>
        <a:prstGeom prst="rect">
          <a:avLst/>
        </a:prstGeom>
        <a:noFill/>
        <a:ln w="9525" cmpd="sng">
          <a:noFill/>
        </a:ln>
      </xdr:spPr>
    </xdr:pic>
    <xdr:clientData/>
  </xdr:twoCellAnchor>
  <xdr:twoCellAnchor editAs="oneCell">
    <xdr:from>
      <xdr:col>0</xdr:col>
      <xdr:colOff>0</xdr:colOff>
      <xdr:row>0</xdr:row>
      <xdr:rowOff>0</xdr:rowOff>
    </xdr:from>
    <xdr:to>
      <xdr:col>7</xdr:col>
      <xdr:colOff>542925</xdr:colOff>
      <xdr:row>1</xdr:row>
      <xdr:rowOff>0</xdr:rowOff>
    </xdr:to>
    <xdr:pic>
      <xdr:nvPicPr>
        <xdr:cNvPr id="3" name="Picture 5"/>
        <xdr:cNvPicPr preferRelativeResize="1">
          <a:picLocks noChangeAspect="1"/>
        </xdr:cNvPicPr>
      </xdr:nvPicPr>
      <xdr:blipFill>
        <a:blip r:embed="rId3"/>
        <a:stretch>
          <a:fillRect/>
        </a:stretch>
      </xdr:blipFill>
      <xdr:spPr>
        <a:xfrm>
          <a:off x="0" y="0"/>
          <a:ext cx="5076825" cy="171450"/>
        </a:xfrm>
        <a:prstGeom prst="rect">
          <a:avLst/>
        </a:prstGeom>
        <a:noFill/>
        <a:ln w="9525" cmpd="sng">
          <a:noFill/>
        </a:ln>
      </xdr:spPr>
    </xdr:pic>
    <xdr:clientData/>
  </xdr:twoCellAnchor>
  <xdr:twoCellAnchor editAs="oneCell">
    <xdr:from>
      <xdr:col>7</xdr:col>
      <xdr:colOff>9525</xdr:colOff>
      <xdr:row>0</xdr:row>
      <xdr:rowOff>0</xdr:rowOff>
    </xdr:from>
    <xdr:to>
      <xdr:col>8</xdr:col>
      <xdr:colOff>9525</xdr:colOff>
      <xdr:row>23</xdr:row>
      <xdr:rowOff>9525</xdr:rowOff>
    </xdr:to>
    <xdr:pic>
      <xdr:nvPicPr>
        <xdr:cNvPr id="4" name="Picture 6"/>
        <xdr:cNvPicPr preferRelativeResize="1">
          <a:picLocks noChangeAspect="1"/>
        </xdr:cNvPicPr>
      </xdr:nvPicPr>
      <xdr:blipFill>
        <a:blip r:embed="rId4"/>
        <a:stretch>
          <a:fillRect/>
        </a:stretch>
      </xdr:blipFill>
      <xdr:spPr>
        <a:xfrm>
          <a:off x="4543425" y="0"/>
          <a:ext cx="552450" cy="3790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9525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5076825" cy="171450"/>
        </a:xfrm>
        <a:prstGeom prst="rect">
          <a:avLst/>
        </a:prstGeom>
        <a:noFill/>
        <a:ln w="9525" cmpd="sng">
          <a:noFill/>
        </a:ln>
      </xdr:spPr>
    </xdr:pic>
    <xdr:clientData/>
  </xdr:twoCellAnchor>
  <xdr:twoCellAnchor editAs="oneCell">
    <xdr:from>
      <xdr:col>7</xdr:col>
      <xdr:colOff>19050</xdr:colOff>
      <xdr:row>0</xdr:row>
      <xdr:rowOff>0</xdr:rowOff>
    </xdr:from>
    <xdr:to>
      <xdr:col>8</xdr:col>
      <xdr:colOff>28575</xdr:colOff>
      <xdr:row>23</xdr:row>
      <xdr:rowOff>9525</xdr:rowOff>
    </xdr:to>
    <xdr:pic>
      <xdr:nvPicPr>
        <xdr:cNvPr id="2" name="Picture 3"/>
        <xdr:cNvPicPr preferRelativeResize="1">
          <a:picLocks noChangeAspect="1"/>
        </xdr:cNvPicPr>
      </xdr:nvPicPr>
      <xdr:blipFill>
        <a:blip r:embed="rId2"/>
        <a:stretch>
          <a:fillRect/>
        </a:stretch>
      </xdr:blipFill>
      <xdr:spPr>
        <a:xfrm>
          <a:off x="4543425" y="0"/>
          <a:ext cx="552450" cy="3790950"/>
        </a:xfrm>
        <a:prstGeom prst="rect">
          <a:avLst/>
        </a:prstGeom>
        <a:noFill/>
        <a:ln w="9525" cmpd="sng">
          <a:noFill/>
        </a:ln>
      </xdr:spPr>
    </xdr:pic>
    <xdr:clientData/>
  </xdr:twoCellAnchor>
  <xdr:twoCellAnchor editAs="oneCell">
    <xdr:from>
      <xdr:col>0</xdr:col>
      <xdr:colOff>19050</xdr:colOff>
      <xdr:row>13</xdr:row>
      <xdr:rowOff>0</xdr:rowOff>
    </xdr:from>
    <xdr:to>
      <xdr:col>8</xdr:col>
      <xdr:colOff>28575</xdr:colOff>
      <xdr:row>23</xdr:row>
      <xdr:rowOff>9525</xdr:rowOff>
    </xdr:to>
    <xdr:pic>
      <xdr:nvPicPr>
        <xdr:cNvPr id="3" name="Picture 4"/>
        <xdr:cNvPicPr preferRelativeResize="1">
          <a:picLocks noChangeAspect="1"/>
        </xdr:cNvPicPr>
      </xdr:nvPicPr>
      <xdr:blipFill>
        <a:blip r:embed="rId3"/>
        <a:stretch>
          <a:fillRect/>
        </a:stretch>
      </xdr:blipFill>
      <xdr:spPr>
        <a:xfrm>
          <a:off x="19050" y="2181225"/>
          <a:ext cx="5076825" cy="1609725"/>
        </a:xfrm>
        <a:prstGeom prst="rect">
          <a:avLst/>
        </a:prstGeom>
        <a:noFill/>
        <a:ln w="9525" cmpd="sng">
          <a:noFill/>
        </a:ln>
      </xdr:spPr>
    </xdr:pic>
    <xdr:clientData/>
  </xdr:twoCellAnchor>
  <xdr:twoCellAnchor editAs="oneCell">
    <xdr:from>
      <xdr:col>0</xdr:col>
      <xdr:colOff>0</xdr:colOff>
      <xdr:row>0</xdr:row>
      <xdr:rowOff>0</xdr:rowOff>
    </xdr:from>
    <xdr:to>
      <xdr:col>2</xdr:col>
      <xdr:colOff>9525</xdr:colOff>
      <xdr:row>23</xdr:row>
      <xdr:rowOff>9525</xdr:rowOff>
    </xdr:to>
    <xdr:pic>
      <xdr:nvPicPr>
        <xdr:cNvPr id="4" name="Picture 5"/>
        <xdr:cNvPicPr preferRelativeResize="1">
          <a:picLocks noChangeAspect="1"/>
        </xdr:cNvPicPr>
      </xdr:nvPicPr>
      <xdr:blipFill>
        <a:blip r:embed="rId4"/>
        <a:stretch>
          <a:fillRect/>
        </a:stretch>
      </xdr:blipFill>
      <xdr:spPr>
        <a:xfrm>
          <a:off x="0" y="0"/>
          <a:ext cx="1285875" cy="3790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8</xdr:col>
      <xdr:colOff>9525</xdr:colOff>
      <xdr:row>0</xdr:row>
      <xdr:rowOff>219075</xdr:rowOff>
    </xdr:to>
    <xdr:pic>
      <xdr:nvPicPr>
        <xdr:cNvPr id="1" name="Picture 2"/>
        <xdr:cNvPicPr preferRelativeResize="1">
          <a:picLocks noChangeAspect="1"/>
        </xdr:cNvPicPr>
      </xdr:nvPicPr>
      <xdr:blipFill>
        <a:blip r:embed="rId1"/>
        <a:stretch>
          <a:fillRect/>
        </a:stretch>
      </xdr:blipFill>
      <xdr:spPr>
        <a:xfrm>
          <a:off x="0" y="47625"/>
          <a:ext cx="5076825" cy="171450"/>
        </a:xfrm>
        <a:prstGeom prst="rect">
          <a:avLst/>
        </a:prstGeom>
        <a:noFill/>
        <a:ln w="9525" cmpd="sng">
          <a:noFill/>
        </a:ln>
      </xdr:spPr>
    </xdr:pic>
    <xdr:clientData/>
  </xdr:twoCellAnchor>
  <xdr:twoCellAnchor editAs="oneCell">
    <xdr:from>
      <xdr:col>7</xdr:col>
      <xdr:colOff>19050</xdr:colOff>
      <xdr:row>0</xdr:row>
      <xdr:rowOff>38100</xdr:rowOff>
    </xdr:from>
    <xdr:to>
      <xdr:col>8</xdr:col>
      <xdr:colOff>28575</xdr:colOff>
      <xdr:row>23</xdr:row>
      <xdr:rowOff>38100</xdr:rowOff>
    </xdr:to>
    <xdr:pic>
      <xdr:nvPicPr>
        <xdr:cNvPr id="2" name="Picture 3"/>
        <xdr:cNvPicPr preferRelativeResize="1">
          <a:picLocks noChangeAspect="1"/>
        </xdr:cNvPicPr>
      </xdr:nvPicPr>
      <xdr:blipFill>
        <a:blip r:embed="rId2"/>
        <a:stretch>
          <a:fillRect/>
        </a:stretch>
      </xdr:blipFill>
      <xdr:spPr>
        <a:xfrm>
          <a:off x="4543425" y="38100"/>
          <a:ext cx="552450" cy="3790950"/>
        </a:xfrm>
        <a:prstGeom prst="rect">
          <a:avLst/>
        </a:prstGeom>
        <a:noFill/>
        <a:ln w="9525" cmpd="sng">
          <a:noFill/>
        </a:ln>
      </xdr:spPr>
    </xdr:pic>
    <xdr:clientData/>
  </xdr:twoCellAnchor>
  <xdr:twoCellAnchor editAs="oneCell">
    <xdr:from>
      <xdr:col>0</xdr:col>
      <xdr:colOff>0</xdr:colOff>
      <xdr:row>0</xdr:row>
      <xdr:rowOff>47625</xdr:rowOff>
    </xdr:from>
    <xdr:to>
      <xdr:col>2</xdr:col>
      <xdr:colOff>9525</xdr:colOff>
      <xdr:row>23</xdr:row>
      <xdr:rowOff>47625</xdr:rowOff>
    </xdr:to>
    <xdr:pic>
      <xdr:nvPicPr>
        <xdr:cNvPr id="3" name="Picture 4"/>
        <xdr:cNvPicPr preferRelativeResize="1">
          <a:picLocks noChangeAspect="1"/>
        </xdr:cNvPicPr>
      </xdr:nvPicPr>
      <xdr:blipFill>
        <a:blip r:embed="rId3"/>
        <a:stretch>
          <a:fillRect/>
        </a:stretch>
      </xdr:blipFill>
      <xdr:spPr>
        <a:xfrm>
          <a:off x="0" y="47625"/>
          <a:ext cx="1285875" cy="3790950"/>
        </a:xfrm>
        <a:prstGeom prst="rect">
          <a:avLst/>
        </a:prstGeom>
        <a:noFill/>
        <a:ln w="9525" cmpd="sng">
          <a:noFill/>
        </a:ln>
      </xdr:spPr>
    </xdr:pic>
    <xdr:clientData/>
  </xdr:twoCellAnchor>
  <xdr:twoCellAnchor editAs="oneCell">
    <xdr:from>
      <xdr:col>0</xdr:col>
      <xdr:colOff>0</xdr:colOff>
      <xdr:row>12</xdr:row>
      <xdr:rowOff>180975</xdr:rowOff>
    </xdr:from>
    <xdr:to>
      <xdr:col>8</xdr:col>
      <xdr:colOff>9525</xdr:colOff>
      <xdr:row>23</xdr:row>
      <xdr:rowOff>47625</xdr:rowOff>
    </xdr:to>
    <xdr:pic>
      <xdr:nvPicPr>
        <xdr:cNvPr id="4" name="Picture 5"/>
        <xdr:cNvPicPr preferRelativeResize="1">
          <a:picLocks noChangeAspect="1"/>
        </xdr:cNvPicPr>
      </xdr:nvPicPr>
      <xdr:blipFill>
        <a:blip r:embed="rId4"/>
        <a:stretch>
          <a:fillRect/>
        </a:stretch>
      </xdr:blipFill>
      <xdr:spPr>
        <a:xfrm>
          <a:off x="0" y="2228850"/>
          <a:ext cx="5076825" cy="1609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19</xdr:row>
      <xdr:rowOff>76200</xdr:rowOff>
    </xdr:from>
    <xdr:to>
      <xdr:col>9</xdr:col>
      <xdr:colOff>276225</xdr:colOff>
      <xdr:row>32</xdr:row>
      <xdr:rowOff>142875</xdr:rowOff>
    </xdr:to>
    <xdr:grpSp>
      <xdr:nvGrpSpPr>
        <xdr:cNvPr id="1" name="Group 34"/>
        <xdr:cNvGrpSpPr>
          <a:grpSpLocks/>
        </xdr:cNvGrpSpPr>
      </xdr:nvGrpSpPr>
      <xdr:grpSpPr>
        <a:xfrm>
          <a:off x="1028700" y="2962275"/>
          <a:ext cx="4257675" cy="2171700"/>
          <a:chOff x="108" y="367"/>
          <a:chExt cx="447" cy="228"/>
        </a:xfrm>
        <a:solidFill>
          <a:srgbClr val="FFFFFF"/>
        </a:solidFill>
      </xdr:grpSpPr>
      <xdr:grpSp>
        <xdr:nvGrpSpPr>
          <xdr:cNvPr id="2" name="Group 33"/>
          <xdr:cNvGrpSpPr>
            <a:grpSpLocks/>
          </xdr:cNvGrpSpPr>
        </xdr:nvGrpSpPr>
        <xdr:grpSpPr>
          <a:xfrm>
            <a:off x="108" y="404"/>
            <a:ext cx="447" cy="191"/>
            <a:chOff x="108" y="404"/>
            <a:chExt cx="447" cy="191"/>
          </a:xfrm>
          <a:solidFill>
            <a:srgbClr val="FFFFFF"/>
          </a:solidFill>
        </xdr:grpSpPr>
        <xdr:grpSp>
          <xdr:nvGrpSpPr>
            <xdr:cNvPr id="3" name="Group 32"/>
            <xdr:cNvGrpSpPr>
              <a:grpSpLocks/>
            </xdr:cNvGrpSpPr>
          </xdr:nvGrpSpPr>
          <xdr:grpSpPr>
            <a:xfrm>
              <a:off x="108" y="404"/>
              <a:ext cx="447" cy="191"/>
              <a:chOff x="108" y="404"/>
              <a:chExt cx="447" cy="191"/>
            </a:xfrm>
            <a:solidFill>
              <a:srgbClr val="FFFFFF"/>
            </a:solidFill>
          </xdr:grpSpPr>
          <xdr:sp>
            <xdr:nvSpPr>
              <xdr:cNvPr id="4" name="AutoShape 2"/>
              <xdr:cNvSpPr>
                <a:spLocks/>
              </xdr:cNvSpPr>
            </xdr:nvSpPr>
            <xdr:spPr>
              <a:xfrm>
                <a:off x="260" y="455"/>
                <a:ext cx="152" cy="94"/>
              </a:xfrm>
              <a:prstGeom prst="flowChartProcess">
                <a:avLst/>
              </a:prstGeom>
              <a:solidFill>
                <a:srgbClr val="FF8080"/>
              </a:solidFill>
              <a:ln w="25400" cmpd="sng">
                <a:solidFill>
                  <a:srgbClr val="CC0000"/>
                </a:solidFill>
                <a:headEnd type="none"/>
                <a:tailEnd type="none"/>
              </a:ln>
            </xdr:spPr>
            <xdr:txBody>
              <a:bodyPr vertOverflow="clip" wrap="square" anchor="ctr"/>
              <a:p>
                <a:pPr algn="ctr">
                  <a:defRPr/>
                </a:pPr>
                <a:r>
                  <a:rPr lang="en-US" cap="none" sz="1100" b="0" i="0" u="none" baseline="0">
                    <a:latin typeface="Arial"/>
                    <a:ea typeface="Arial"/>
                    <a:cs typeface="Arial"/>
                  </a:rPr>
                  <a:t>Intermediate Calculations</a:t>
                </a:r>
              </a:p>
            </xdr:txBody>
          </xdr:sp>
          <xdr:grpSp>
            <xdr:nvGrpSpPr>
              <xdr:cNvPr id="5" name="Group 31"/>
              <xdr:cNvGrpSpPr>
                <a:grpSpLocks/>
              </xdr:cNvGrpSpPr>
            </xdr:nvGrpSpPr>
            <xdr:grpSpPr>
              <a:xfrm>
                <a:off x="108" y="404"/>
                <a:ext cx="100" cy="191"/>
                <a:chOff x="108" y="404"/>
                <a:chExt cx="100" cy="191"/>
              </a:xfrm>
              <a:solidFill>
                <a:srgbClr val="FFFFFF"/>
              </a:solidFill>
            </xdr:grpSpPr>
            <xdr:sp>
              <xdr:nvSpPr>
                <xdr:cNvPr id="6" name="AutoShape 1"/>
                <xdr:cNvSpPr>
                  <a:spLocks/>
                </xdr:cNvSpPr>
              </xdr:nvSpPr>
              <xdr:spPr>
                <a:xfrm>
                  <a:off x="108" y="404"/>
                  <a:ext cx="100" cy="42"/>
                </a:xfrm>
                <a:prstGeom prst="flowChartTerminator">
                  <a:avLst/>
                </a:prstGeom>
                <a:solidFill>
                  <a:srgbClr val="CCFFCC"/>
                </a:solidFill>
                <a:ln w="25400" cmpd="sng">
                  <a:solidFill>
                    <a:srgbClr val="008000"/>
                  </a:solidFill>
                  <a:headEnd type="none"/>
                  <a:tailEnd type="none"/>
                </a:ln>
              </xdr:spPr>
              <xdr:txBody>
                <a:bodyPr vertOverflow="clip" wrap="square" anchor="ctr"/>
                <a:p>
                  <a:pPr algn="ctr">
                    <a:defRPr/>
                  </a:pPr>
                  <a:r>
                    <a:rPr lang="en-US" cap="none" sz="1000" b="0" i="0" u="none" baseline="0">
                      <a:latin typeface="Arial"/>
                      <a:ea typeface="Arial"/>
                      <a:cs typeface="Arial"/>
                    </a:rPr>
                    <a:t>Learner Inputs</a:t>
                  </a:r>
                </a:p>
              </xdr:txBody>
            </xdr:sp>
            <xdr:sp>
              <xdr:nvSpPr>
                <xdr:cNvPr id="7" name="AutoShape 4"/>
                <xdr:cNvSpPr>
                  <a:spLocks/>
                </xdr:cNvSpPr>
              </xdr:nvSpPr>
              <xdr:spPr>
                <a:xfrm>
                  <a:off x="108" y="453"/>
                  <a:ext cx="100" cy="42"/>
                </a:xfrm>
                <a:prstGeom prst="flowChartTerminator">
                  <a:avLst/>
                </a:prstGeom>
                <a:solidFill>
                  <a:srgbClr val="CCFFCC"/>
                </a:solidFill>
                <a:ln w="25400" cmpd="sng">
                  <a:solidFill>
                    <a:srgbClr val="008000"/>
                  </a:solidFill>
                  <a:headEnd type="none"/>
                  <a:tailEnd type="none"/>
                </a:ln>
              </xdr:spPr>
              <xdr:txBody>
                <a:bodyPr vertOverflow="clip" wrap="square" anchor="ctr"/>
                <a:p>
                  <a:pPr algn="ctr">
                    <a:defRPr/>
                  </a:pPr>
                  <a:r>
                    <a:rPr lang="en-US" cap="none" sz="800" b="0" i="0" u="none" baseline="0">
                      <a:latin typeface="Arial"/>
                      <a:ea typeface="Arial"/>
                      <a:cs typeface="Arial"/>
                    </a:rPr>
                    <a:t>Instructor Inputs</a:t>
                  </a:r>
                </a:p>
              </xdr:txBody>
            </xdr:sp>
            <xdr:sp>
              <xdr:nvSpPr>
                <xdr:cNvPr id="8" name="AutoShape 5"/>
                <xdr:cNvSpPr>
                  <a:spLocks/>
                </xdr:cNvSpPr>
              </xdr:nvSpPr>
              <xdr:spPr>
                <a:xfrm>
                  <a:off x="108" y="503"/>
                  <a:ext cx="100" cy="42"/>
                </a:xfrm>
                <a:prstGeom prst="flowChartTerminator">
                  <a:avLst/>
                </a:prstGeom>
                <a:solidFill>
                  <a:srgbClr val="CCFFCC"/>
                </a:solidFill>
                <a:ln w="25400" cmpd="sng">
                  <a:solidFill>
                    <a:srgbClr val="008000"/>
                  </a:solidFill>
                  <a:headEnd type="none"/>
                  <a:tailEnd type="none"/>
                </a:ln>
              </xdr:spPr>
              <xdr:txBody>
                <a:bodyPr vertOverflow="clip" wrap="square" anchor="ctr"/>
                <a:p>
                  <a:pPr algn="ctr">
                    <a:defRPr/>
                  </a:pPr>
                  <a:r>
                    <a:rPr lang="en-US" cap="none" sz="1000" b="0" i="0" u="none" baseline="0">
                      <a:latin typeface="Arial"/>
                      <a:ea typeface="Arial"/>
                      <a:cs typeface="Arial"/>
                    </a:rPr>
                    <a:t>Learner Goals</a:t>
                  </a:r>
                </a:p>
              </xdr:txBody>
            </xdr:sp>
            <xdr:sp>
              <xdr:nvSpPr>
                <xdr:cNvPr id="9" name="AutoShape 6"/>
                <xdr:cNvSpPr>
                  <a:spLocks/>
                </xdr:cNvSpPr>
              </xdr:nvSpPr>
              <xdr:spPr>
                <a:xfrm>
                  <a:off x="108" y="553"/>
                  <a:ext cx="100" cy="42"/>
                </a:xfrm>
                <a:prstGeom prst="flowChartTerminator">
                  <a:avLst/>
                </a:prstGeom>
                <a:solidFill>
                  <a:srgbClr val="CCFFCC"/>
                </a:solidFill>
                <a:ln w="25400" cmpd="sng">
                  <a:solidFill>
                    <a:srgbClr val="008000"/>
                  </a:solidFill>
                  <a:headEnd type="none"/>
                  <a:tailEnd type="none"/>
                </a:ln>
              </xdr:spPr>
              <xdr:txBody>
                <a:bodyPr vertOverflow="clip" wrap="square" anchor="ctr"/>
                <a:p>
                  <a:pPr algn="ctr">
                    <a:defRPr/>
                  </a:pPr>
                  <a:r>
                    <a:rPr lang="en-US" cap="none" sz="1000" b="0" i="0" u="none" baseline="0">
                      <a:latin typeface="Arial"/>
                      <a:ea typeface="Arial"/>
                      <a:cs typeface="Arial"/>
                    </a:rPr>
                    <a:t>etc.</a:t>
                  </a:r>
                </a:p>
              </xdr:txBody>
            </xdr:sp>
          </xdr:grpSp>
          <xdr:grpSp>
            <xdr:nvGrpSpPr>
              <xdr:cNvPr id="10" name="Group 11"/>
              <xdr:cNvGrpSpPr>
                <a:grpSpLocks/>
              </xdr:cNvGrpSpPr>
            </xdr:nvGrpSpPr>
            <xdr:grpSpPr>
              <a:xfrm>
                <a:off x="457" y="409"/>
                <a:ext cx="98" cy="182"/>
                <a:chOff x="429" y="366"/>
                <a:chExt cx="98" cy="182"/>
              </a:xfrm>
              <a:solidFill>
                <a:srgbClr val="FFFFFF"/>
              </a:solidFill>
            </xdr:grpSpPr>
            <xdr:sp>
              <xdr:nvSpPr>
                <xdr:cNvPr id="11" name="AutoShape 3"/>
                <xdr:cNvSpPr>
                  <a:spLocks/>
                </xdr:cNvSpPr>
              </xdr:nvSpPr>
              <xdr:spPr>
                <a:xfrm>
                  <a:off x="429" y="366"/>
                  <a:ext cx="96" cy="50"/>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Learner KPIs</a:t>
                  </a:r>
                </a:p>
              </xdr:txBody>
            </xdr:sp>
            <xdr:sp>
              <xdr:nvSpPr>
                <xdr:cNvPr id="12" name="AutoShape 7"/>
                <xdr:cNvSpPr>
                  <a:spLocks/>
                </xdr:cNvSpPr>
              </xdr:nvSpPr>
              <xdr:spPr>
                <a:xfrm>
                  <a:off x="429" y="430"/>
                  <a:ext cx="98" cy="52"/>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Learner Assessment</a:t>
                  </a:r>
                </a:p>
              </xdr:txBody>
            </xdr:sp>
            <xdr:sp>
              <xdr:nvSpPr>
                <xdr:cNvPr id="13" name="AutoShape 9"/>
                <xdr:cNvSpPr>
                  <a:spLocks/>
                </xdr:cNvSpPr>
              </xdr:nvSpPr>
              <xdr:spPr>
                <a:xfrm>
                  <a:off x="429" y="496"/>
                  <a:ext cx="98" cy="52"/>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etc.</a:t>
                  </a:r>
                </a:p>
              </xdr:txBody>
            </xdr:sp>
          </xdr:grpSp>
        </xdr:grpSp>
        <xdr:grpSp>
          <xdr:nvGrpSpPr>
            <xdr:cNvPr id="14" name="Group 24"/>
            <xdr:cNvGrpSpPr>
              <a:grpSpLocks/>
            </xdr:cNvGrpSpPr>
          </xdr:nvGrpSpPr>
          <xdr:grpSpPr>
            <a:xfrm>
              <a:off x="215" y="427"/>
              <a:ext cx="236" cy="146"/>
              <a:chOff x="217" y="376"/>
              <a:chExt cx="236" cy="146"/>
            </a:xfrm>
            <a:solidFill>
              <a:srgbClr val="FFFFFF"/>
            </a:solidFill>
          </xdr:grpSpPr>
          <xdr:sp>
            <xdr:nvSpPr>
              <xdr:cNvPr id="15" name="Line 13"/>
              <xdr:cNvSpPr>
                <a:spLocks/>
              </xdr:cNvSpPr>
            </xdr:nvSpPr>
            <xdr:spPr>
              <a:xfrm>
                <a:off x="219" y="376"/>
                <a:ext cx="34" cy="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6" name="Line 14"/>
              <xdr:cNvSpPr>
                <a:spLocks/>
              </xdr:cNvSpPr>
            </xdr:nvSpPr>
            <xdr:spPr>
              <a:xfrm>
                <a:off x="219" y="424"/>
                <a:ext cx="32" cy="1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 name="Line 15"/>
              <xdr:cNvSpPr>
                <a:spLocks/>
              </xdr:cNvSpPr>
            </xdr:nvSpPr>
            <xdr:spPr>
              <a:xfrm flipV="1">
                <a:off x="217" y="466"/>
                <a:ext cx="34" cy="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8" name="Line 16"/>
              <xdr:cNvSpPr>
                <a:spLocks/>
              </xdr:cNvSpPr>
            </xdr:nvSpPr>
            <xdr:spPr>
              <a:xfrm flipV="1">
                <a:off x="219" y="484"/>
                <a:ext cx="30"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 name="Line 18"/>
              <xdr:cNvSpPr>
                <a:spLocks/>
              </xdr:cNvSpPr>
            </xdr:nvSpPr>
            <xdr:spPr>
              <a:xfrm flipV="1">
                <a:off x="425" y="394"/>
                <a:ext cx="28"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0" name="Line 19"/>
              <xdr:cNvSpPr>
                <a:spLocks/>
              </xdr:cNvSpPr>
            </xdr:nvSpPr>
            <xdr:spPr>
              <a:xfrm>
                <a:off x="425" y="448"/>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21" name="Line 20"/>
              <xdr:cNvSpPr>
                <a:spLocks/>
              </xdr:cNvSpPr>
            </xdr:nvSpPr>
            <xdr:spPr>
              <a:xfrm>
                <a:off x="423" y="470"/>
                <a:ext cx="30"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nvGrpSpPr>
          <xdr:cNvPr id="22" name="Group 29"/>
          <xdr:cNvGrpSpPr>
            <a:grpSpLocks/>
          </xdr:cNvGrpSpPr>
        </xdr:nvGrpSpPr>
        <xdr:grpSpPr>
          <a:xfrm>
            <a:off x="123" y="367"/>
            <a:ext cx="432" cy="21"/>
            <a:chOff x="123" y="348"/>
            <a:chExt cx="432" cy="21"/>
          </a:xfrm>
          <a:solidFill>
            <a:srgbClr val="FFFFFF"/>
          </a:solidFill>
        </xdr:grpSpPr>
        <xdr:sp>
          <xdr:nvSpPr>
            <xdr:cNvPr id="23" name="TextBox 26"/>
            <xdr:cNvSpPr txBox="1">
              <a:spLocks noChangeArrowheads="1"/>
            </xdr:cNvSpPr>
          </xdr:nvSpPr>
          <xdr:spPr>
            <a:xfrm>
              <a:off x="123" y="348"/>
              <a:ext cx="80"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Input Layer</a:t>
              </a:r>
            </a:p>
          </xdr:txBody>
        </xdr:sp>
        <xdr:sp>
          <xdr:nvSpPr>
            <xdr:cNvPr id="24" name="TextBox 27"/>
            <xdr:cNvSpPr txBox="1">
              <a:spLocks noChangeArrowheads="1"/>
            </xdr:cNvSpPr>
          </xdr:nvSpPr>
          <xdr:spPr>
            <a:xfrm>
              <a:off x="290" y="348"/>
              <a:ext cx="91"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Middle Layer</a:t>
              </a:r>
            </a:p>
          </xdr:txBody>
        </xdr:sp>
        <xdr:sp>
          <xdr:nvSpPr>
            <xdr:cNvPr id="25" name="TextBox 28"/>
            <xdr:cNvSpPr txBox="1">
              <a:spLocks noChangeArrowheads="1"/>
            </xdr:cNvSpPr>
          </xdr:nvSpPr>
          <xdr:spPr>
            <a:xfrm>
              <a:off x="465" y="348"/>
              <a:ext cx="90"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Output Layer</a:t>
              </a:r>
            </a:p>
          </xdr:txBody>
        </xdr:sp>
      </xdr:grpSp>
    </xdr:grpSp>
    <xdr:clientData/>
  </xdr:twoCellAnchor>
  <xdr:twoCellAnchor>
    <xdr:from>
      <xdr:col>1</xdr:col>
      <xdr:colOff>438150</xdr:colOff>
      <xdr:row>43</xdr:row>
      <xdr:rowOff>47625</xdr:rowOff>
    </xdr:from>
    <xdr:to>
      <xdr:col>10</xdr:col>
      <xdr:colOff>133350</xdr:colOff>
      <xdr:row>56</xdr:row>
      <xdr:rowOff>76200</xdr:rowOff>
    </xdr:to>
    <xdr:grpSp>
      <xdr:nvGrpSpPr>
        <xdr:cNvPr id="26" name="Group 74"/>
        <xdr:cNvGrpSpPr>
          <a:grpSpLocks/>
        </xdr:cNvGrpSpPr>
      </xdr:nvGrpSpPr>
      <xdr:grpSpPr>
        <a:xfrm>
          <a:off x="571500" y="6743700"/>
          <a:ext cx="5181600" cy="2133600"/>
          <a:chOff x="32" y="804"/>
          <a:chExt cx="544" cy="224"/>
        </a:xfrm>
        <a:solidFill>
          <a:srgbClr val="FFFFFF"/>
        </a:solidFill>
      </xdr:grpSpPr>
      <xdr:grpSp>
        <xdr:nvGrpSpPr>
          <xdr:cNvPr id="27" name="Group 70"/>
          <xdr:cNvGrpSpPr>
            <a:grpSpLocks/>
          </xdr:cNvGrpSpPr>
        </xdr:nvGrpSpPr>
        <xdr:grpSpPr>
          <a:xfrm>
            <a:off x="55" y="804"/>
            <a:ext cx="518" cy="21"/>
            <a:chOff x="55" y="804"/>
            <a:chExt cx="518" cy="21"/>
          </a:xfrm>
          <a:solidFill>
            <a:srgbClr val="FFFFFF"/>
          </a:solidFill>
        </xdr:grpSpPr>
        <xdr:sp>
          <xdr:nvSpPr>
            <xdr:cNvPr id="28" name="TextBox 57"/>
            <xdr:cNvSpPr txBox="1">
              <a:spLocks noChangeArrowheads="1"/>
            </xdr:cNvSpPr>
          </xdr:nvSpPr>
          <xdr:spPr>
            <a:xfrm>
              <a:off x="55" y="804"/>
              <a:ext cx="80"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Input Layer</a:t>
              </a:r>
            </a:p>
          </xdr:txBody>
        </xdr:sp>
        <xdr:sp>
          <xdr:nvSpPr>
            <xdr:cNvPr id="29" name="TextBox 58"/>
            <xdr:cNvSpPr txBox="1">
              <a:spLocks noChangeArrowheads="1"/>
            </xdr:cNvSpPr>
          </xdr:nvSpPr>
          <xdr:spPr>
            <a:xfrm>
              <a:off x="322" y="804"/>
              <a:ext cx="91"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Middle Layer</a:t>
              </a:r>
            </a:p>
          </xdr:txBody>
        </xdr:sp>
        <xdr:sp>
          <xdr:nvSpPr>
            <xdr:cNvPr id="30" name="TextBox 59"/>
            <xdr:cNvSpPr txBox="1">
              <a:spLocks noChangeArrowheads="1"/>
            </xdr:cNvSpPr>
          </xdr:nvSpPr>
          <xdr:spPr>
            <a:xfrm>
              <a:off x="483" y="804"/>
              <a:ext cx="90"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Output Layer</a:t>
              </a:r>
            </a:p>
          </xdr:txBody>
        </xdr:sp>
        <xdr:sp>
          <xdr:nvSpPr>
            <xdr:cNvPr id="31" name="TextBox 60"/>
            <xdr:cNvSpPr txBox="1">
              <a:spLocks noChangeArrowheads="1"/>
            </xdr:cNvSpPr>
          </xdr:nvSpPr>
          <xdr:spPr>
            <a:xfrm>
              <a:off x="197" y="804"/>
              <a:ext cx="51" cy="21"/>
            </a:xfrm>
            <a:prstGeom prst="rect">
              <a:avLst/>
            </a:prstGeom>
            <a:noFill/>
            <a:ln w="9525" cmpd="sng">
              <a:noFill/>
            </a:ln>
          </xdr:spPr>
          <xdr:txBody>
            <a:bodyPr vertOverflow="clip" wrap="square">
              <a:spAutoFit/>
            </a:bodyPr>
            <a:p>
              <a:pPr algn="l">
                <a:defRPr/>
              </a:pPr>
              <a:r>
                <a:rPr lang="en-US" cap="none" sz="1000" b="1" i="0" u="none" baseline="0">
                  <a:latin typeface="Arial"/>
                  <a:ea typeface="Arial"/>
                  <a:cs typeface="Arial"/>
                </a:rPr>
                <a:t>Switch</a:t>
              </a:r>
            </a:p>
          </xdr:txBody>
        </xdr:sp>
      </xdr:grpSp>
      <xdr:grpSp>
        <xdr:nvGrpSpPr>
          <xdr:cNvPr id="32" name="Group 73"/>
          <xdr:cNvGrpSpPr>
            <a:grpSpLocks/>
          </xdr:cNvGrpSpPr>
        </xdr:nvGrpSpPr>
        <xdr:grpSpPr>
          <a:xfrm>
            <a:off x="32" y="846"/>
            <a:ext cx="544" cy="182"/>
            <a:chOff x="32" y="846"/>
            <a:chExt cx="544" cy="182"/>
          </a:xfrm>
          <a:solidFill>
            <a:srgbClr val="FFFFFF"/>
          </a:solidFill>
        </xdr:grpSpPr>
        <xdr:grpSp>
          <xdr:nvGrpSpPr>
            <xdr:cNvPr id="33" name="Group 71"/>
            <xdr:cNvGrpSpPr>
              <a:grpSpLocks/>
            </xdr:cNvGrpSpPr>
          </xdr:nvGrpSpPr>
          <xdr:grpSpPr>
            <a:xfrm>
              <a:off x="32" y="846"/>
              <a:ext cx="544" cy="182"/>
              <a:chOff x="32" y="846"/>
              <a:chExt cx="544" cy="182"/>
            </a:xfrm>
            <a:solidFill>
              <a:srgbClr val="FFFFFF"/>
            </a:solidFill>
          </xdr:grpSpPr>
          <xdr:sp>
            <xdr:nvSpPr>
              <xdr:cNvPr id="34" name="AutoShape 38"/>
              <xdr:cNvSpPr>
                <a:spLocks/>
              </xdr:cNvSpPr>
            </xdr:nvSpPr>
            <xdr:spPr>
              <a:xfrm>
                <a:off x="288" y="889"/>
                <a:ext cx="152" cy="94"/>
              </a:xfrm>
              <a:prstGeom prst="flowChartProcess">
                <a:avLst/>
              </a:prstGeom>
              <a:solidFill>
                <a:srgbClr val="FF8080"/>
              </a:solidFill>
              <a:ln w="25400" cmpd="sng">
                <a:solidFill>
                  <a:srgbClr val="CC0000"/>
                </a:solidFill>
                <a:headEnd type="none"/>
                <a:tailEnd type="none"/>
              </a:ln>
            </xdr:spPr>
            <xdr:txBody>
              <a:bodyPr vertOverflow="clip" wrap="square" anchor="ctr"/>
              <a:p>
                <a:pPr algn="ctr">
                  <a:defRPr/>
                </a:pPr>
                <a:r>
                  <a:rPr lang="en-US" cap="none" sz="1100" b="0" i="0" u="none" baseline="0">
                    <a:latin typeface="Arial"/>
                    <a:ea typeface="Arial"/>
                    <a:cs typeface="Arial"/>
                  </a:rPr>
                  <a:t>Intermediate Calculations</a:t>
                </a:r>
              </a:p>
            </xdr:txBody>
          </xdr:sp>
          <xdr:grpSp>
            <xdr:nvGrpSpPr>
              <xdr:cNvPr id="35" name="Group 44"/>
              <xdr:cNvGrpSpPr>
                <a:grpSpLocks/>
              </xdr:cNvGrpSpPr>
            </xdr:nvGrpSpPr>
            <xdr:grpSpPr>
              <a:xfrm>
                <a:off x="478" y="846"/>
                <a:ext cx="98" cy="182"/>
                <a:chOff x="429" y="366"/>
                <a:chExt cx="98" cy="182"/>
              </a:xfrm>
              <a:solidFill>
                <a:srgbClr val="FFFFFF"/>
              </a:solidFill>
            </xdr:grpSpPr>
            <xdr:sp>
              <xdr:nvSpPr>
                <xdr:cNvPr id="36" name="AutoShape 45"/>
                <xdr:cNvSpPr>
                  <a:spLocks/>
                </xdr:cNvSpPr>
              </xdr:nvSpPr>
              <xdr:spPr>
                <a:xfrm>
                  <a:off x="429" y="366"/>
                  <a:ext cx="96" cy="50"/>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Learner KPIs</a:t>
                  </a:r>
                </a:p>
              </xdr:txBody>
            </xdr:sp>
            <xdr:sp>
              <xdr:nvSpPr>
                <xdr:cNvPr id="37" name="AutoShape 46"/>
                <xdr:cNvSpPr>
                  <a:spLocks/>
                </xdr:cNvSpPr>
              </xdr:nvSpPr>
              <xdr:spPr>
                <a:xfrm>
                  <a:off x="429" y="430"/>
                  <a:ext cx="98" cy="52"/>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Learner Assessment</a:t>
                  </a:r>
                </a:p>
              </xdr:txBody>
            </xdr:sp>
            <xdr:sp>
              <xdr:nvSpPr>
                <xdr:cNvPr id="38" name="AutoShape 47"/>
                <xdr:cNvSpPr>
                  <a:spLocks/>
                </xdr:cNvSpPr>
              </xdr:nvSpPr>
              <xdr:spPr>
                <a:xfrm>
                  <a:off x="429" y="496"/>
                  <a:ext cx="98" cy="52"/>
                </a:xfrm>
                <a:prstGeom prst="flowChartTerminator">
                  <a:avLst/>
                </a:prstGeom>
                <a:solidFill>
                  <a:srgbClr val="CCFFFF"/>
                </a:solidFill>
                <a:ln w="25400" cmpd="sng">
                  <a:solidFill>
                    <a:srgbClr val="333399"/>
                  </a:solidFill>
                  <a:headEnd type="none"/>
                  <a:tailEnd type="none"/>
                </a:ln>
              </xdr:spPr>
              <xdr:txBody>
                <a:bodyPr vertOverflow="clip" wrap="square" anchor="ctr"/>
                <a:p>
                  <a:pPr algn="ctr">
                    <a:defRPr/>
                  </a:pPr>
                  <a:r>
                    <a:rPr lang="en-US" cap="none" sz="1000" b="0" i="0" u="none" baseline="0">
                      <a:latin typeface="Arial"/>
                      <a:ea typeface="Arial"/>
                      <a:cs typeface="Arial"/>
                    </a:rPr>
                    <a:t>etc.</a:t>
                  </a:r>
                </a:p>
              </xdr:txBody>
            </xdr:sp>
          </xdr:grpSp>
          <xdr:grpSp>
            <xdr:nvGrpSpPr>
              <xdr:cNvPr id="39" name="Group 63"/>
              <xdr:cNvGrpSpPr>
                <a:grpSpLocks/>
              </xdr:cNvGrpSpPr>
            </xdr:nvGrpSpPr>
            <xdr:grpSpPr>
              <a:xfrm>
                <a:off x="32" y="861"/>
                <a:ext cx="119" cy="142"/>
                <a:chOff x="56" y="866"/>
                <a:chExt cx="119" cy="142"/>
              </a:xfrm>
              <a:solidFill>
                <a:srgbClr val="FFFFFF"/>
              </a:solidFill>
            </xdr:grpSpPr>
            <xdr:sp>
              <xdr:nvSpPr>
                <xdr:cNvPr id="40" name="AutoShape 40"/>
                <xdr:cNvSpPr>
                  <a:spLocks/>
                </xdr:cNvSpPr>
              </xdr:nvSpPr>
              <xdr:spPr>
                <a:xfrm>
                  <a:off x="57" y="866"/>
                  <a:ext cx="118" cy="42"/>
                </a:xfrm>
                <a:prstGeom prst="flowChartTerminator">
                  <a:avLst/>
                </a:prstGeom>
                <a:solidFill>
                  <a:srgbClr val="FFCC00"/>
                </a:solidFill>
                <a:ln w="25400" cmpd="sng">
                  <a:solidFill>
                    <a:srgbClr val="FF6600"/>
                  </a:solidFill>
                  <a:headEnd type="none"/>
                  <a:tailEnd type="none"/>
                </a:ln>
              </xdr:spPr>
              <xdr:txBody>
                <a:bodyPr vertOverflow="clip" wrap="square" anchor="ctr"/>
                <a:p>
                  <a:pPr algn="ctr">
                    <a:defRPr/>
                  </a:pPr>
                  <a:r>
                    <a:rPr lang="en-US" cap="none" sz="1000" b="0" i="0" u="none" baseline="0">
                      <a:latin typeface="Arial"/>
                      <a:ea typeface="Arial"/>
                      <a:cs typeface="Arial"/>
                    </a:rPr>
                    <a:t>Learner Inputs </a:t>
                  </a:r>
                  <a:r>
                    <a:rPr lang="en-US" cap="none" sz="1000" b="1" i="0" u="none" baseline="0">
                      <a:latin typeface="Arial"/>
                      <a:ea typeface="Arial"/>
                      <a:cs typeface="Arial"/>
                    </a:rPr>
                    <a:t>1</a:t>
                  </a:r>
                </a:p>
              </xdr:txBody>
            </xdr:sp>
            <xdr:sp>
              <xdr:nvSpPr>
                <xdr:cNvPr id="41" name="AutoShape 61"/>
                <xdr:cNvSpPr>
                  <a:spLocks/>
                </xdr:cNvSpPr>
              </xdr:nvSpPr>
              <xdr:spPr>
                <a:xfrm>
                  <a:off x="57" y="916"/>
                  <a:ext cx="118" cy="42"/>
                </a:xfrm>
                <a:prstGeom prst="flowChartTerminator">
                  <a:avLst/>
                </a:prstGeom>
                <a:solidFill>
                  <a:srgbClr val="FFCC00"/>
                </a:solidFill>
                <a:ln w="25400" cmpd="sng">
                  <a:solidFill>
                    <a:srgbClr val="FF6600"/>
                  </a:solidFill>
                  <a:headEnd type="none"/>
                  <a:tailEnd type="none"/>
                </a:ln>
              </xdr:spPr>
              <xdr:txBody>
                <a:bodyPr vertOverflow="clip" wrap="square" anchor="ctr"/>
                <a:p>
                  <a:pPr algn="ctr">
                    <a:defRPr/>
                  </a:pPr>
                  <a:r>
                    <a:rPr lang="en-US" cap="none" sz="1000" b="0" i="0" u="none" baseline="0">
                      <a:latin typeface="Arial"/>
                      <a:ea typeface="Arial"/>
                      <a:cs typeface="Arial"/>
                    </a:rPr>
                    <a:t>Learner Inputs </a:t>
                  </a:r>
                  <a:r>
                    <a:rPr lang="en-US" cap="none" sz="1000" b="1" i="0" u="none" baseline="0">
                      <a:latin typeface="Arial"/>
                      <a:ea typeface="Arial"/>
                      <a:cs typeface="Arial"/>
                    </a:rPr>
                    <a:t>2</a:t>
                  </a:r>
                </a:p>
              </xdr:txBody>
            </xdr:sp>
            <xdr:sp>
              <xdr:nvSpPr>
                <xdr:cNvPr id="42" name="AutoShape 62"/>
                <xdr:cNvSpPr>
                  <a:spLocks/>
                </xdr:cNvSpPr>
              </xdr:nvSpPr>
              <xdr:spPr>
                <a:xfrm>
                  <a:off x="56" y="966"/>
                  <a:ext cx="118" cy="42"/>
                </a:xfrm>
                <a:prstGeom prst="flowChartTerminator">
                  <a:avLst/>
                </a:prstGeom>
                <a:solidFill>
                  <a:srgbClr val="FFCC00"/>
                </a:solidFill>
                <a:ln w="25400" cmpd="sng">
                  <a:solidFill>
                    <a:srgbClr val="FF6600"/>
                  </a:solidFill>
                  <a:headEnd type="none"/>
                  <a:tailEnd type="none"/>
                </a:ln>
              </xdr:spPr>
              <xdr:txBody>
                <a:bodyPr vertOverflow="clip" wrap="square" anchor="ctr"/>
                <a:p>
                  <a:pPr algn="ctr">
                    <a:defRPr/>
                  </a:pPr>
                  <a:r>
                    <a:rPr lang="en-US" cap="none" sz="1000" b="0" i="0" u="none" baseline="0">
                      <a:latin typeface="Arial"/>
                      <a:ea typeface="Arial"/>
                      <a:cs typeface="Arial"/>
                    </a:rPr>
                    <a:t>etc.</a:t>
                  </a:r>
                </a:p>
              </xdr:txBody>
            </xdr:sp>
          </xdr:grpSp>
          <xdr:sp>
            <xdr:nvSpPr>
              <xdr:cNvPr id="43" name="AutoShape 64"/>
              <xdr:cNvSpPr>
                <a:spLocks/>
              </xdr:cNvSpPr>
            </xdr:nvSpPr>
            <xdr:spPr>
              <a:xfrm>
                <a:off x="189" y="911"/>
                <a:ext cx="62" cy="50"/>
              </a:xfrm>
              <a:prstGeom prst="flowChartAlternateProcess">
                <a:avLst/>
              </a:prstGeom>
              <a:solidFill>
                <a:srgbClr val="CC99FF"/>
              </a:solidFill>
              <a:ln w="25400" cmpd="sng">
                <a:solidFill>
                  <a:srgbClr val="800080"/>
                </a:solidFill>
                <a:headEnd type="none"/>
                <a:tailEnd type="none"/>
              </a:ln>
            </xdr:spPr>
            <xdr:txBody>
              <a:bodyPr vertOverflow="clip" wrap="square" anchor="ctr"/>
              <a:p>
                <a:pPr algn="ctr">
                  <a:defRPr/>
                </a:pPr>
                <a:r>
                  <a:rPr lang="en-US" cap="none" sz="1000" b="0" i="0" u="none" baseline="0">
                    <a:latin typeface="Arial"/>
                    <a:ea typeface="Arial"/>
                    <a:cs typeface="Arial"/>
                  </a:rPr>
                  <a:t>Switch</a:t>
                </a:r>
              </a:p>
            </xdr:txBody>
          </xdr:sp>
        </xdr:grpSp>
        <xdr:grpSp>
          <xdr:nvGrpSpPr>
            <xdr:cNvPr id="44" name="Group 72"/>
            <xdr:cNvGrpSpPr>
              <a:grpSpLocks/>
            </xdr:cNvGrpSpPr>
          </xdr:nvGrpSpPr>
          <xdr:grpSpPr>
            <a:xfrm>
              <a:off x="155" y="882"/>
              <a:ext cx="320" cy="104"/>
              <a:chOff x="155" y="882"/>
              <a:chExt cx="320" cy="104"/>
            </a:xfrm>
            <a:solidFill>
              <a:srgbClr val="FFFFFF"/>
            </a:solidFill>
          </xdr:grpSpPr>
          <xdr:sp>
            <xdr:nvSpPr>
              <xdr:cNvPr id="45" name="Line 49"/>
              <xdr:cNvSpPr>
                <a:spLocks/>
              </xdr:cNvSpPr>
            </xdr:nvSpPr>
            <xdr:spPr>
              <a:xfrm>
                <a:off x="158" y="883"/>
                <a:ext cx="24"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6" name="Line 50"/>
              <xdr:cNvSpPr>
                <a:spLocks/>
              </xdr:cNvSpPr>
            </xdr:nvSpPr>
            <xdr:spPr>
              <a:xfrm>
                <a:off x="156" y="934"/>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7" name="Line 51"/>
              <xdr:cNvSpPr>
                <a:spLocks/>
              </xdr:cNvSpPr>
            </xdr:nvSpPr>
            <xdr:spPr>
              <a:xfrm flipV="1">
                <a:off x="155" y="960"/>
                <a:ext cx="30" cy="2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8" name="Line 53"/>
              <xdr:cNvSpPr>
                <a:spLocks/>
              </xdr:cNvSpPr>
            </xdr:nvSpPr>
            <xdr:spPr>
              <a:xfrm flipV="1">
                <a:off x="447" y="882"/>
                <a:ext cx="28" cy="3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9" name="Line 54"/>
              <xdr:cNvSpPr>
                <a:spLocks/>
              </xdr:cNvSpPr>
            </xdr:nvSpPr>
            <xdr:spPr>
              <a:xfrm>
                <a:off x="447" y="936"/>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0" name="Line 55"/>
              <xdr:cNvSpPr>
                <a:spLocks/>
              </xdr:cNvSpPr>
            </xdr:nvSpPr>
            <xdr:spPr>
              <a:xfrm>
                <a:off x="447" y="958"/>
                <a:ext cx="28" cy="2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1" name="Line 69"/>
              <xdr:cNvSpPr>
                <a:spLocks/>
              </xdr:cNvSpPr>
            </xdr:nvSpPr>
            <xdr:spPr>
              <a:xfrm>
                <a:off x="257" y="935"/>
                <a:ext cx="24"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1</xdr:col>
      <xdr:colOff>314325</xdr:colOff>
      <xdr:row>66</xdr:row>
      <xdr:rowOff>66675</xdr:rowOff>
    </xdr:from>
    <xdr:to>
      <xdr:col>11</xdr:col>
      <xdr:colOff>142875</xdr:colOff>
      <xdr:row>74</xdr:row>
      <xdr:rowOff>85725</xdr:rowOff>
    </xdr:to>
    <xdr:grpSp>
      <xdr:nvGrpSpPr>
        <xdr:cNvPr id="52" name="Group 83"/>
        <xdr:cNvGrpSpPr>
          <a:grpSpLocks/>
        </xdr:cNvGrpSpPr>
      </xdr:nvGrpSpPr>
      <xdr:grpSpPr>
        <a:xfrm>
          <a:off x="447675" y="10391775"/>
          <a:ext cx="5924550" cy="1314450"/>
          <a:chOff x="54" y="1046"/>
          <a:chExt cx="622" cy="138"/>
        </a:xfrm>
        <a:solidFill>
          <a:srgbClr val="FFFFFF"/>
        </a:solidFill>
      </xdr:grpSpPr>
      <xdr:sp>
        <xdr:nvSpPr>
          <xdr:cNvPr id="53" name="AutoShape 77"/>
          <xdr:cNvSpPr>
            <a:spLocks/>
          </xdr:cNvSpPr>
        </xdr:nvSpPr>
        <xdr:spPr>
          <a:xfrm>
            <a:off x="54" y="1046"/>
            <a:ext cx="622" cy="138"/>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4" name="Picture 82"/>
          <xdr:cNvPicPr preferRelativeResize="1">
            <a:picLocks noChangeAspect="1"/>
          </xdr:cNvPicPr>
        </xdr:nvPicPr>
        <xdr:blipFill>
          <a:blip r:embed="rId1"/>
          <a:stretch>
            <a:fillRect/>
          </a:stretch>
        </xdr:blipFill>
        <xdr:spPr>
          <a:xfrm>
            <a:off x="79" y="1065"/>
            <a:ext cx="573" cy="98"/>
          </a:xfrm>
          <a:prstGeom prst="rect">
            <a:avLst/>
          </a:prstGeom>
          <a:noFill/>
          <a:ln w="9525" cmpd="sng">
            <a:noFill/>
          </a:ln>
        </xdr:spPr>
      </xdr:pic>
    </xdr:grpSp>
    <xdr:clientData/>
  </xdr:twoCellAnchor>
  <xdr:twoCellAnchor>
    <xdr:from>
      <xdr:col>0</xdr:col>
      <xdr:colOff>76200</xdr:colOff>
      <xdr:row>79</xdr:row>
      <xdr:rowOff>66675</xdr:rowOff>
    </xdr:from>
    <xdr:to>
      <xdr:col>16</xdr:col>
      <xdr:colOff>419100</xdr:colOff>
      <xdr:row>104</xdr:row>
      <xdr:rowOff>38100</xdr:rowOff>
    </xdr:to>
    <xdr:grpSp>
      <xdr:nvGrpSpPr>
        <xdr:cNvPr id="55" name="Group 85"/>
        <xdr:cNvGrpSpPr>
          <a:grpSpLocks/>
        </xdr:cNvGrpSpPr>
      </xdr:nvGrpSpPr>
      <xdr:grpSpPr>
        <a:xfrm>
          <a:off x="76200" y="12496800"/>
          <a:ext cx="9620250" cy="4019550"/>
          <a:chOff x="104" y="1268"/>
          <a:chExt cx="1010" cy="422"/>
        </a:xfrm>
        <a:solidFill>
          <a:srgbClr val="FFFFFF"/>
        </a:solidFill>
      </xdr:grpSpPr>
      <xdr:sp>
        <xdr:nvSpPr>
          <xdr:cNvPr id="56" name="AutoShape 81"/>
          <xdr:cNvSpPr>
            <a:spLocks/>
          </xdr:cNvSpPr>
        </xdr:nvSpPr>
        <xdr:spPr>
          <a:xfrm>
            <a:off x="104" y="1268"/>
            <a:ext cx="1010" cy="422"/>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57" name="Picture 84"/>
          <xdr:cNvPicPr preferRelativeResize="1">
            <a:picLocks noChangeAspect="1"/>
          </xdr:cNvPicPr>
        </xdr:nvPicPr>
        <xdr:blipFill>
          <a:blip r:embed="rId2"/>
          <a:stretch>
            <a:fillRect/>
          </a:stretch>
        </xdr:blipFill>
        <xdr:spPr>
          <a:xfrm>
            <a:off x="128" y="1295"/>
            <a:ext cx="953" cy="374"/>
          </a:xfrm>
          <a:prstGeom prst="rect">
            <a:avLst/>
          </a:prstGeom>
          <a:noFill/>
          <a:ln w="9525" cmpd="sng">
            <a:noFill/>
          </a:ln>
        </xdr:spPr>
      </xdr:pic>
    </xdr:grpSp>
    <xdr:clientData/>
  </xdr:twoCellAnchor>
  <xdr:twoCellAnchor>
    <xdr:from>
      <xdr:col>2</xdr:col>
      <xdr:colOff>19050</xdr:colOff>
      <xdr:row>111</xdr:row>
      <xdr:rowOff>85725</xdr:rowOff>
    </xdr:from>
    <xdr:to>
      <xdr:col>8</xdr:col>
      <xdr:colOff>533400</xdr:colOff>
      <xdr:row>121</xdr:row>
      <xdr:rowOff>9525</xdr:rowOff>
    </xdr:to>
    <xdr:grpSp>
      <xdr:nvGrpSpPr>
        <xdr:cNvPr id="58" name="Group 87"/>
        <xdr:cNvGrpSpPr>
          <a:grpSpLocks/>
        </xdr:cNvGrpSpPr>
      </xdr:nvGrpSpPr>
      <xdr:grpSpPr>
        <a:xfrm>
          <a:off x="762000" y="17697450"/>
          <a:ext cx="4171950" cy="1543050"/>
          <a:chOff x="836" y="1836"/>
          <a:chExt cx="438" cy="162"/>
        </a:xfrm>
        <a:solidFill>
          <a:srgbClr val="FFFFFF"/>
        </a:solidFill>
      </xdr:grpSpPr>
      <xdr:sp>
        <xdr:nvSpPr>
          <xdr:cNvPr id="59" name="AutoShape 80"/>
          <xdr:cNvSpPr>
            <a:spLocks/>
          </xdr:cNvSpPr>
        </xdr:nvSpPr>
        <xdr:spPr>
          <a:xfrm>
            <a:off x="836" y="1836"/>
            <a:ext cx="438" cy="162"/>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0" name="Picture 86"/>
          <xdr:cNvPicPr preferRelativeResize="1">
            <a:picLocks noChangeAspect="1"/>
          </xdr:cNvPicPr>
        </xdr:nvPicPr>
        <xdr:blipFill>
          <a:blip r:embed="rId3"/>
          <a:stretch>
            <a:fillRect/>
          </a:stretch>
        </xdr:blipFill>
        <xdr:spPr>
          <a:xfrm>
            <a:off x="863" y="1853"/>
            <a:ext cx="386" cy="128"/>
          </a:xfrm>
          <a:prstGeom prst="rect">
            <a:avLst/>
          </a:prstGeom>
          <a:noFill/>
          <a:ln w="9525" cmpd="sng">
            <a:noFill/>
          </a:ln>
        </xdr:spPr>
      </xdr:pic>
    </xdr:grpSp>
    <xdr:clientData/>
  </xdr:twoCellAnchor>
  <xdr:twoCellAnchor>
    <xdr:from>
      <xdr:col>1</xdr:col>
      <xdr:colOff>76200</xdr:colOff>
      <xdr:row>130</xdr:row>
      <xdr:rowOff>104775</xdr:rowOff>
    </xdr:from>
    <xdr:to>
      <xdr:col>11</xdr:col>
      <xdr:colOff>342900</xdr:colOff>
      <xdr:row>139</xdr:row>
      <xdr:rowOff>114300</xdr:rowOff>
    </xdr:to>
    <xdr:grpSp>
      <xdr:nvGrpSpPr>
        <xdr:cNvPr id="61" name="Group 92"/>
        <xdr:cNvGrpSpPr>
          <a:grpSpLocks/>
        </xdr:cNvGrpSpPr>
      </xdr:nvGrpSpPr>
      <xdr:grpSpPr>
        <a:xfrm>
          <a:off x="209550" y="20793075"/>
          <a:ext cx="6362700" cy="1466850"/>
          <a:chOff x="344" y="2034"/>
          <a:chExt cx="668" cy="154"/>
        </a:xfrm>
        <a:solidFill>
          <a:srgbClr val="FFFFFF"/>
        </a:solidFill>
      </xdr:grpSpPr>
      <xdr:sp>
        <xdr:nvSpPr>
          <xdr:cNvPr id="62" name="AutoShape 79"/>
          <xdr:cNvSpPr>
            <a:spLocks/>
          </xdr:cNvSpPr>
        </xdr:nvSpPr>
        <xdr:spPr>
          <a:xfrm>
            <a:off x="344" y="2034"/>
            <a:ext cx="668" cy="154"/>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3" name="Picture 91"/>
          <xdr:cNvPicPr preferRelativeResize="1">
            <a:picLocks noChangeAspect="1"/>
          </xdr:cNvPicPr>
        </xdr:nvPicPr>
        <xdr:blipFill>
          <a:blip r:embed="rId4"/>
          <a:stretch>
            <a:fillRect/>
          </a:stretch>
        </xdr:blipFill>
        <xdr:spPr>
          <a:xfrm>
            <a:off x="365" y="2048"/>
            <a:ext cx="627" cy="124"/>
          </a:xfrm>
          <a:prstGeom prst="rect">
            <a:avLst/>
          </a:prstGeom>
          <a:noFill/>
          <a:ln w="9525" cmpd="sng">
            <a:noFill/>
          </a:ln>
        </xdr:spPr>
      </xdr:pic>
    </xdr:grpSp>
    <xdr:clientData/>
  </xdr:twoCellAnchor>
  <xdr:twoCellAnchor>
    <xdr:from>
      <xdr:col>0</xdr:col>
      <xdr:colOff>85725</xdr:colOff>
      <xdr:row>145</xdr:row>
      <xdr:rowOff>85725</xdr:rowOff>
    </xdr:from>
    <xdr:to>
      <xdr:col>15</xdr:col>
      <xdr:colOff>180975</xdr:colOff>
      <xdr:row>164</xdr:row>
      <xdr:rowOff>38100</xdr:rowOff>
    </xdr:to>
    <xdr:grpSp>
      <xdr:nvGrpSpPr>
        <xdr:cNvPr id="64" name="Group 101"/>
        <xdr:cNvGrpSpPr>
          <a:grpSpLocks/>
        </xdr:cNvGrpSpPr>
      </xdr:nvGrpSpPr>
      <xdr:grpSpPr>
        <a:xfrm>
          <a:off x="85725" y="23202900"/>
          <a:ext cx="8763000" cy="3028950"/>
          <a:chOff x="15" y="2365"/>
          <a:chExt cx="920" cy="318"/>
        </a:xfrm>
        <a:solidFill>
          <a:srgbClr val="FFFFFF"/>
        </a:solidFill>
      </xdr:grpSpPr>
      <xdr:sp>
        <xdr:nvSpPr>
          <xdr:cNvPr id="65" name="AutoShape 100"/>
          <xdr:cNvSpPr>
            <a:spLocks/>
          </xdr:cNvSpPr>
        </xdr:nvSpPr>
        <xdr:spPr>
          <a:xfrm>
            <a:off x="15" y="2365"/>
            <a:ext cx="920" cy="318"/>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6" name="Picture 99"/>
          <xdr:cNvPicPr preferRelativeResize="1">
            <a:picLocks noChangeAspect="1"/>
          </xdr:cNvPicPr>
        </xdr:nvPicPr>
        <xdr:blipFill>
          <a:blip r:embed="rId5"/>
          <a:stretch>
            <a:fillRect/>
          </a:stretch>
        </xdr:blipFill>
        <xdr:spPr>
          <a:xfrm>
            <a:off x="36" y="2383"/>
            <a:ext cx="884" cy="280"/>
          </a:xfrm>
          <a:prstGeom prst="rect">
            <a:avLst/>
          </a:prstGeom>
          <a:noFill/>
          <a:ln w="9525" cmpd="sng">
            <a:noFill/>
          </a:ln>
        </xdr:spPr>
      </xdr:pic>
    </xdr:grpSp>
    <xdr:clientData/>
  </xdr:twoCellAnchor>
  <xdr:twoCellAnchor>
    <xdr:from>
      <xdr:col>1</xdr:col>
      <xdr:colOff>104775</xdr:colOff>
      <xdr:row>168</xdr:row>
      <xdr:rowOff>152400</xdr:rowOff>
    </xdr:from>
    <xdr:to>
      <xdr:col>10</xdr:col>
      <xdr:colOff>542925</xdr:colOff>
      <xdr:row>177</xdr:row>
      <xdr:rowOff>9525</xdr:rowOff>
    </xdr:to>
    <xdr:grpSp>
      <xdr:nvGrpSpPr>
        <xdr:cNvPr id="67" name="Group 103"/>
        <xdr:cNvGrpSpPr>
          <a:grpSpLocks/>
        </xdr:cNvGrpSpPr>
      </xdr:nvGrpSpPr>
      <xdr:grpSpPr>
        <a:xfrm>
          <a:off x="238125" y="26993850"/>
          <a:ext cx="5924550" cy="1314450"/>
          <a:chOff x="741" y="2164"/>
          <a:chExt cx="622" cy="138"/>
        </a:xfrm>
        <a:solidFill>
          <a:srgbClr val="FFFFFF"/>
        </a:solidFill>
      </xdr:grpSpPr>
      <xdr:sp>
        <xdr:nvSpPr>
          <xdr:cNvPr id="68" name="AutoShape 97"/>
          <xdr:cNvSpPr>
            <a:spLocks/>
          </xdr:cNvSpPr>
        </xdr:nvSpPr>
        <xdr:spPr>
          <a:xfrm>
            <a:off x="741" y="2164"/>
            <a:ext cx="622" cy="138"/>
          </a:xfrm>
          <a:prstGeom prst="flowChartAlternateProcess">
            <a:avLst/>
          </a:prstGeom>
          <a:solidFill>
            <a:srgbClr val="C0C0C0"/>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69" name="Picture 102"/>
          <xdr:cNvPicPr preferRelativeResize="1">
            <a:picLocks noChangeAspect="1"/>
          </xdr:cNvPicPr>
        </xdr:nvPicPr>
        <xdr:blipFill>
          <a:blip r:embed="rId6"/>
          <a:stretch>
            <a:fillRect/>
          </a:stretch>
        </xdr:blipFill>
        <xdr:spPr>
          <a:xfrm>
            <a:off x="755" y="2184"/>
            <a:ext cx="591" cy="10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nowledgedynamics.com/demos/Breakeven/index.htm" TargetMode="External" /><Relationship Id="rId2" Type="http://schemas.openxmlformats.org/officeDocument/2006/relationships/hyperlink" Target="http://www.knowledgedynamics.com/demos/breakeven/Glossary.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5"/>
  <dimension ref="B2:W47"/>
  <sheetViews>
    <sheetView workbookViewId="0" topLeftCell="A1">
      <selection activeCell="A1" sqref="A1"/>
    </sheetView>
  </sheetViews>
  <sheetFormatPr defaultColWidth="9.140625" defaultRowHeight="12.75"/>
  <cols>
    <col min="1" max="1" width="1.7109375" style="0" customWidth="1"/>
    <col min="2" max="2" width="2.421875" style="0" customWidth="1"/>
    <col min="3" max="3" width="2.8515625" style="0" customWidth="1"/>
    <col min="4" max="4" width="4.421875" style="0" customWidth="1"/>
    <col min="5" max="5" width="10.8515625" style="0" customWidth="1"/>
    <col min="6" max="6" width="6.8515625" style="0" customWidth="1"/>
    <col min="7" max="7" width="4.57421875" style="0" customWidth="1"/>
    <col min="9" max="9" width="6.8515625" style="0" customWidth="1"/>
    <col min="10" max="10" width="10.421875" style="0" customWidth="1"/>
    <col min="11" max="11" width="4.57421875" style="0" customWidth="1"/>
    <col min="12" max="12" width="2.57421875" style="0" customWidth="1"/>
    <col min="13" max="13" width="6.8515625" style="0" customWidth="1"/>
    <col min="14" max="14" width="1.7109375" style="0" customWidth="1"/>
    <col min="15" max="15" width="2.7109375" style="0" customWidth="1"/>
    <col min="16" max="16" width="3.7109375" style="0" customWidth="1"/>
    <col min="17" max="17" width="2.421875" style="0" customWidth="1"/>
    <col min="18" max="18" width="5.421875" style="0" customWidth="1"/>
    <col min="20" max="20" width="5.421875" style="0" customWidth="1"/>
    <col min="21" max="21" width="12.7109375" style="0" customWidth="1"/>
    <col min="22" max="22" width="2.28125" style="0" customWidth="1"/>
    <col min="23" max="23" width="2.140625" style="0" customWidth="1"/>
    <col min="24" max="24" width="1.7109375" style="0" customWidth="1"/>
  </cols>
  <sheetData>
    <row r="1" ht="7.5" customHeight="1" thickBot="1"/>
    <row r="2" spans="2:23" ht="12.75" customHeight="1">
      <c r="B2" s="25"/>
      <c r="C2" s="299" t="s">
        <v>44</v>
      </c>
      <c r="D2" s="299"/>
      <c r="E2" s="299"/>
      <c r="F2" s="26"/>
      <c r="G2" s="306" t="s">
        <v>132</v>
      </c>
      <c r="H2" s="306"/>
      <c r="I2" s="306"/>
      <c r="J2" s="306"/>
      <c r="K2" s="306"/>
      <c r="L2" s="306"/>
      <c r="M2" s="306"/>
      <c r="N2" s="314" t="s">
        <v>133</v>
      </c>
      <c r="O2" s="314"/>
      <c r="P2" s="314"/>
      <c r="Q2" s="9"/>
      <c r="R2" s="310"/>
      <c r="S2" s="310"/>
      <c r="T2" s="310"/>
      <c r="U2" s="312"/>
      <c r="V2" s="312"/>
      <c r="W2" s="27"/>
    </row>
    <row r="3" spans="2:23" ht="12.75" customHeight="1">
      <c r="B3" s="28"/>
      <c r="C3" s="300"/>
      <c r="D3" s="300"/>
      <c r="E3" s="300"/>
      <c r="F3" s="29"/>
      <c r="G3" s="307"/>
      <c r="H3" s="307"/>
      <c r="I3" s="307"/>
      <c r="J3" s="307"/>
      <c r="K3" s="307"/>
      <c r="L3" s="307"/>
      <c r="M3" s="307"/>
      <c r="N3" s="315"/>
      <c r="O3" s="315"/>
      <c r="P3" s="315"/>
      <c r="Q3" s="8"/>
      <c r="R3" s="311"/>
      <c r="S3" s="311"/>
      <c r="T3" s="311"/>
      <c r="U3" s="313"/>
      <c r="V3" s="313"/>
      <c r="W3" s="30"/>
    </row>
    <row r="4" spans="2:23" ht="6" customHeight="1">
      <c r="B4" s="28"/>
      <c r="C4" s="29"/>
      <c r="D4" s="29"/>
      <c r="E4" s="29"/>
      <c r="F4" s="29"/>
      <c r="G4" s="29"/>
      <c r="H4" s="29"/>
      <c r="I4" s="29"/>
      <c r="J4" s="29"/>
      <c r="K4" s="29"/>
      <c r="L4" s="29"/>
      <c r="M4" s="29"/>
      <c r="N4" s="29"/>
      <c r="O4" s="29"/>
      <c r="P4" s="29"/>
      <c r="Q4" s="29"/>
      <c r="R4" s="29"/>
      <c r="S4" s="29"/>
      <c r="T4" s="29"/>
      <c r="U4" s="29"/>
      <c r="V4" s="29"/>
      <c r="W4" s="30"/>
    </row>
    <row r="5" spans="2:23" ht="13.5" thickBot="1">
      <c r="B5" s="28"/>
      <c r="C5" s="35" t="s">
        <v>134</v>
      </c>
      <c r="D5" s="29"/>
      <c r="E5" s="29"/>
      <c r="F5" s="29"/>
      <c r="G5" s="29"/>
      <c r="H5" s="36"/>
      <c r="I5" s="29"/>
      <c r="J5" s="29"/>
      <c r="K5" s="29"/>
      <c r="L5" s="29"/>
      <c r="M5" s="29"/>
      <c r="N5" s="29"/>
      <c r="O5" s="29"/>
      <c r="P5" s="29"/>
      <c r="Q5" s="295" t="s">
        <v>54</v>
      </c>
      <c r="R5" s="295"/>
      <c r="S5" s="295"/>
      <c r="T5" s="295"/>
      <c r="U5" s="295"/>
      <c r="V5" s="37"/>
      <c r="W5" s="30"/>
    </row>
    <row r="6" spans="2:23" ht="6" customHeight="1" thickBot="1" thickTop="1">
      <c r="B6" s="28"/>
      <c r="C6" s="15"/>
      <c r="D6" s="16"/>
      <c r="E6" s="16"/>
      <c r="F6" s="16"/>
      <c r="G6" s="16"/>
      <c r="H6" s="16"/>
      <c r="I6" s="16"/>
      <c r="J6" s="16"/>
      <c r="K6" s="16"/>
      <c r="L6" s="16"/>
      <c r="M6" s="16"/>
      <c r="N6" s="16"/>
      <c r="O6" s="17"/>
      <c r="P6" s="29"/>
      <c r="Q6" s="15"/>
      <c r="R6" s="38"/>
      <c r="S6" s="38"/>
      <c r="T6" s="38"/>
      <c r="U6" s="38"/>
      <c r="V6" s="17"/>
      <c r="W6" s="30"/>
    </row>
    <row r="7" spans="2:23" ht="13.5" thickBot="1">
      <c r="B7" s="28"/>
      <c r="C7" s="39"/>
      <c r="D7" s="294" t="s">
        <v>3</v>
      </c>
      <c r="E7" s="294"/>
      <c r="F7" s="19"/>
      <c r="G7" s="297" t="s">
        <v>45</v>
      </c>
      <c r="H7" s="297"/>
      <c r="I7" s="297"/>
      <c r="J7" s="294" t="s">
        <v>47</v>
      </c>
      <c r="K7" s="294"/>
      <c r="L7" s="294"/>
      <c r="M7" s="294"/>
      <c r="N7" s="294"/>
      <c r="O7" s="41"/>
      <c r="P7" s="29"/>
      <c r="Q7" s="18"/>
      <c r="R7" s="293" t="s">
        <v>43</v>
      </c>
      <c r="S7" s="293"/>
      <c r="T7" s="296"/>
      <c r="U7" s="43" t="str">
        <f>Calc_OUT_KPI_FixedCost</f>
        <v>--</v>
      </c>
      <c r="V7" s="20"/>
      <c r="W7" s="30"/>
    </row>
    <row r="8" spans="2:23" ht="12.75" customHeight="1" thickBot="1">
      <c r="B8" s="28"/>
      <c r="C8" s="18"/>
      <c r="D8" s="19"/>
      <c r="E8" s="44"/>
      <c r="F8" s="19"/>
      <c r="G8" s="19"/>
      <c r="H8" s="19"/>
      <c r="I8" s="57">
        <f>Calc_IN_Outsource_Display</f>
        <v>0</v>
      </c>
      <c r="J8" s="19"/>
      <c r="K8" s="19"/>
      <c r="L8" s="19"/>
      <c r="M8" s="308">
        <f>Calc_IN_MfgAuto_Display</f>
        <v>0</v>
      </c>
      <c r="N8" s="297"/>
      <c r="O8" s="20"/>
      <c r="P8" s="29"/>
      <c r="Q8" s="18"/>
      <c r="R8" s="19"/>
      <c r="S8" s="19"/>
      <c r="T8" s="19"/>
      <c r="U8" s="19"/>
      <c r="V8" s="20"/>
      <c r="W8" s="30"/>
    </row>
    <row r="9" spans="2:23" ht="13.5" thickBot="1">
      <c r="B9" s="28"/>
      <c r="C9" s="18"/>
      <c r="D9" s="19"/>
      <c r="E9" s="44"/>
      <c r="F9" s="19"/>
      <c r="G9" s="301"/>
      <c r="H9" s="301"/>
      <c r="I9" s="301"/>
      <c r="J9" s="19"/>
      <c r="K9" s="54"/>
      <c r="L9" s="19"/>
      <c r="M9" s="19"/>
      <c r="N9" s="54"/>
      <c r="O9" s="55"/>
      <c r="P9" s="29"/>
      <c r="Q9" s="18"/>
      <c r="R9" s="293" t="s">
        <v>0</v>
      </c>
      <c r="S9" s="293"/>
      <c r="T9" s="296"/>
      <c r="U9" s="43" t="str">
        <f>Calc_OUT_KPI_VarCost</f>
        <v>--</v>
      </c>
      <c r="V9" s="20"/>
      <c r="W9" s="30"/>
    </row>
    <row r="10" spans="2:23" ht="6" customHeight="1" thickBot="1">
      <c r="B10" s="28"/>
      <c r="C10" s="18"/>
      <c r="D10" s="19"/>
      <c r="E10" s="19"/>
      <c r="F10" s="19"/>
      <c r="G10" s="19"/>
      <c r="H10" s="19"/>
      <c r="I10" s="19"/>
      <c r="J10" s="19"/>
      <c r="K10" s="19"/>
      <c r="L10" s="19"/>
      <c r="M10" s="19"/>
      <c r="N10" s="19"/>
      <c r="O10" s="20"/>
      <c r="P10" s="29"/>
      <c r="Q10" s="18"/>
      <c r="R10" s="19"/>
      <c r="S10" s="19"/>
      <c r="T10" s="19"/>
      <c r="U10" s="19"/>
      <c r="V10" s="20"/>
      <c r="W10" s="30"/>
    </row>
    <row r="11" spans="2:23" ht="13.5" thickBot="1">
      <c r="B11" s="28"/>
      <c r="C11" s="18"/>
      <c r="D11" s="297" t="s">
        <v>21</v>
      </c>
      <c r="E11" s="297"/>
      <c r="F11" s="297"/>
      <c r="G11" s="19"/>
      <c r="H11" s="40" t="s">
        <v>46</v>
      </c>
      <c r="I11" s="19"/>
      <c r="J11" s="19"/>
      <c r="K11" s="297" t="s">
        <v>27</v>
      </c>
      <c r="L11" s="297"/>
      <c r="M11" s="297"/>
      <c r="N11" s="297"/>
      <c r="O11" s="298"/>
      <c r="P11" s="29"/>
      <c r="Q11" s="18"/>
      <c r="R11" s="293" t="s">
        <v>55</v>
      </c>
      <c r="S11" s="293"/>
      <c r="T11" s="296"/>
      <c r="U11" s="45" t="str">
        <f>Calc_OUT_KPI_Capacity</f>
        <v>--</v>
      </c>
      <c r="V11" s="20"/>
      <c r="W11" s="30"/>
    </row>
    <row r="12" spans="2:23" ht="12.75" customHeight="1" thickBot="1">
      <c r="B12" s="28"/>
      <c r="C12" s="18"/>
      <c r="D12" s="19"/>
      <c r="E12" s="73"/>
      <c r="F12" s="19"/>
      <c r="G12" s="19"/>
      <c r="H12" s="73"/>
      <c r="I12" s="19"/>
      <c r="J12" s="19"/>
      <c r="K12" s="19"/>
      <c r="L12" s="401" t="str">
        <f>Calc_OUT_Demand</f>
        <v>--</v>
      </c>
      <c r="M12" s="402"/>
      <c r="N12" s="56"/>
      <c r="O12" s="20"/>
      <c r="P12" s="29"/>
      <c r="Q12" s="18"/>
      <c r="R12" s="19"/>
      <c r="S12" s="19"/>
      <c r="T12" s="19"/>
      <c r="U12" s="19"/>
      <c r="V12" s="20"/>
      <c r="W12" s="30"/>
    </row>
    <row r="13" spans="2:23" ht="13.5" thickBot="1">
      <c r="B13" s="28"/>
      <c r="C13" s="21"/>
      <c r="D13" s="22"/>
      <c r="E13" s="22"/>
      <c r="F13" s="22"/>
      <c r="G13" s="22"/>
      <c r="H13" s="22"/>
      <c r="I13" s="22"/>
      <c r="J13" s="22"/>
      <c r="K13" s="22"/>
      <c r="L13" s="22"/>
      <c r="M13" s="22"/>
      <c r="N13" s="22"/>
      <c r="O13" s="23"/>
      <c r="P13" s="29"/>
      <c r="Q13" s="18"/>
      <c r="R13" s="293" t="s">
        <v>10</v>
      </c>
      <c r="S13" s="293"/>
      <c r="T13" s="296"/>
      <c r="U13" s="45" t="str">
        <f>Calc_OUT_KPI_BEVolume</f>
        <v>--</v>
      </c>
      <c r="V13" s="20"/>
      <c r="W13" s="30"/>
    </row>
    <row r="14" spans="2:23" ht="6" customHeight="1" thickBot="1" thickTop="1">
      <c r="B14" s="28"/>
      <c r="C14" s="29"/>
      <c r="D14" s="29"/>
      <c r="E14" s="29"/>
      <c r="F14" s="29"/>
      <c r="G14" s="29"/>
      <c r="H14" s="29"/>
      <c r="I14" s="29"/>
      <c r="J14" s="29"/>
      <c r="K14" s="29"/>
      <c r="L14" s="29"/>
      <c r="M14" s="29"/>
      <c r="N14" s="29"/>
      <c r="O14" s="29"/>
      <c r="P14" s="29"/>
      <c r="Q14" s="18"/>
      <c r="R14" s="19"/>
      <c r="S14" s="19"/>
      <c r="T14" s="19"/>
      <c r="U14" s="46"/>
      <c r="V14" s="20"/>
      <c r="W14" s="30"/>
    </row>
    <row r="15" spans="2:23" ht="13.5" thickBot="1">
      <c r="B15" s="28"/>
      <c r="C15" s="295" t="s">
        <v>48</v>
      </c>
      <c r="D15" s="295"/>
      <c r="E15" s="295"/>
      <c r="F15" s="36">
        <f>IF(OR(D17="-- select --",H17="-- select --",K17="-- select --")," - incomplete","")</f>
      </c>
      <c r="G15" s="29"/>
      <c r="H15" s="29"/>
      <c r="I15" s="29"/>
      <c r="J15" s="29"/>
      <c r="K15" s="29"/>
      <c r="L15" s="29"/>
      <c r="M15" s="29"/>
      <c r="N15" s="29"/>
      <c r="O15" s="29"/>
      <c r="P15" s="29"/>
      <c r="Q15" s="18"/>
      <c r="R15" s="293" t="s">
        <v>18</v>
      </c>
      <c r="S15" s="293"/>
      <c r="T15" s="293"/>
      <c r="U15" s="47" t="str">
        <f>Calc_OUT_KPI_BERevenue</f>
        <v>--</v>
      </c>
      <c r="V15" s="20"/>
      <c r="W15" s="30"/>
    </row>
    <row r="16" spans="2:23" ht="6" customHeight="1" thickBot="1" thickTop="1">
      <c r="B16" s="28"/>
      <c r="C16" s="15"/>
      <c r="D16" s="16"/>
      <c r="E16" s="16"/>
      <c r="F16" s="16"/>
      <c r="G16" s="16"/>
      <c r="H16" s="16"/>
      <c r="I16" s="16"/>
      <c r="J16" s="16"/>
      <c r="K16" s="16"/>
      <c r="L16" s="16"/>
      <c r="M16" s="16"/>
      <c r="N16" s="16"/>
      <c r="O16" s="17"/>
      <c r="P16" s="29"/>
      <c r="Q16" s="18"/>
      <c r="R16" s="19"/>
      <c r="S16" s="19"/>
      <c r="T16" s="19"/>
      <c r="U16" s="19"/>
      <c r="V16" s="20"/>
      <c r="W16" s="30"/>
    </row>
    <row r="17" spans="2:23" ht="13.5" thickBot="1">
      <c r="B17" s="28"/>
      <c r="C17" s="18"/>
      <c r="D17" s="302"/>
      <c r="E17" s="303"/>
      <c r="F17" s="304" t="s">
        <v>135</v>
      </c>
      <c r="G17" s="305"/>
      <c r="H17" s="302"/>
      <c r="I17" s="303"/>
      <c r="J17" s="40" t="s">
        <v>136</v>
      </c>
      <c r="K17" s="302"/>
      <c r="L17" s="309"/>
      <c r="M17" s="303"/>
      <c r="N17" s="40"/>
      <c r="O17" s="20"/>
      <c r="P17" s="29"/>
      <c r="Q17" s="18"/>
      <c r="R17" s="293" t="s">
        <v>56</v>
      </c>
      <c r="S17" s="293"/>
      <c r="T17" s="296"/>
      <c r="U17" s="48" t="str">
        <f>Calc_OUT_KPI_BEYears</f>
        <v>--</v>
      </c>
      <c r="V17" s="20"/>
      <c r="W17" s="30"/>
    </row>
    <row r="18" spans="2:23" ht="6" customHeight="1" thickBot="1">
      <c r="B18" s="28"/>
      <c r="C18" s="21"/>
      <c r="D18" s="22"/>
      <c r="E18" s="22"/>
      <c r="F18" s="22"/>
      <c r="G18" s="22"/>
      <c r="H18" s="22"/>
      <c r="I18" s="22"/>
      <c r="J18" s="22"/>
      <c r="K18" s="22"/>
      <c r="L18" s="22"/>
      <c r="M18" s="22"/>
      <c r="N18" s="22"/>
      <c r="O18" s="23"/>
      <c r="P18" s="29"/>
      <c r="Q18" s="21"/>
      <c r="R18" s="22"/>
      <c r="S18" s="22"/>
      <c r="T18" s="22"/>
      <c r="U18" s="22"/>
      <c r="V18" s="23"/>
      <c r="W18" s="30"/>
    </row>
    <row r="19" spans="2:23" ht="6" customHeight="1" thickTop="1">
      <c r="B19" s="28"/>
      <c r="C19" s="29"/>
      <c r="D19" s="29"/>
      <c r="E19" s="29"/>
      <c r="F19" s="29"/>
      <c r="G19" s="29"/>
      <c r="H19" s="29"/>
      <c r="I19" s="29"/>
      <c r="J19" s="29"/>
      <c r="K19" s="29"/>
      <c r="L19" s="29"/>
      <c r="M19" s="29"/>
      <c r="N19" s="29"/>
      <c r="O19" s="29"/>
      <c r="P19" s="29"/>
      <c r="Q19" s="29"/>
      <c r="R19" s="29"/>
      <c r="S19" s="29"/>
      <c r="T19" s="29"/>
      <c r="U19" s="29"/>
      <c r="V19" s="29"/>
      <c r="W19" s="30"/>
    </row>
    <row r="20" spans="2:23" ht="13.5" thickBot="1">
      <c r="B20" s="28"/>
      <c r="C20" s="295" t="s">
        <v>49</v>
      </c>
      <c r="D20" s="295"/>
      <c r="E20" s="295"/>
      <c r="F20" s="36"/>
      <c r="G20" s="53" t="s">
        <v>51</v>
      </c>
      <c r="H20" s="53" t="s">
        <v>7</v>
      </c>
      <c r="I20" s="29"/>
      <c r="J20" s="29"/>
      <c r="K20" s="29"/>
      <c r="L20" s="29"/>
      <c r="M20" s="295" t="s">
        <v>57</v>
      </c>
      <c r="N20" s="295"/>
      <c r="O20" s="295"/>
      <c r="P20" s="295"/>
      <c r="Q20" s="295"/>
      <c r="R20" s="29"/>
      <c r="S20" s="29"/>
      <c r="T20" s="29"/>
      <c r="U20" s="29"/>
      <c r="V20" s="29"/>
      <c r="W20" s="30"/>
    </row>
    <row r="21" spans="2:23" ht="6" customHeight="1" thickBot="1" thickTop="1">
      <c r="B21" s="28"/>
      <c r="C21" s="15"/>
      <c r="D21" s="16"/>
      <c r="E21" s="16"/>
      <c r="F21" s="16"/>
      <c r="G21" s="49"/>
      <c r="H21" s="16"/>
      <c r="I21" s="16"/>
      <c r="J21" s="16"/>
      <c r="K21" s="17"/>
      <c r="L21" s="29"/>
      <c r="M21" s="15"/>
      <c r="N21" s="16"/>
      <c r="O21" s="16"/>
      <c r="P21" s="16"/>
      <c r="Q21" s="16"/>
      <c r="R21" s="16"/>
      <c r="S21" s="16"/>
      <c r="T21" s="16"/>
      <c r="U21" s="16"/>
      <c r="V21" s="17"/>
      <c r="W21" s="30"/>
    </row>
    <row r="22" spans="2:23" ht="13.5" thickBot="1">
      <c r="B22" s="28"/>
      <c r="C22" s="18"/>
      <c r="D22" s="42" t="s">
        <v>3</v>
      </c>
      <c r="E22" s="19"/>
      <c r="F22" s="19"/>
      <c r="G22" s="52"/>
      <c r="H22" s="52"/>
      <c r="I22" s="19"/>
      <c r="J22" s="50" t="str">
        <f>Calc_OUT_CC_Plant_Cost</f>
        <v>--</v>
      </c>
      <c r="K22" s="20"/>
      <c r="L22" s="29"/>
      <c r="M22" s="18"/>
      <c r="N22" s="19"/>
      <c r="O22" s="19"/>
      <c r="P22" s="19"/>
      <c r="Q22" s="19"/>
      <c r="R22" s="19"/>
      <c r="S22" s="19"/>
      <c r="T22" s="19"/>
      <c r="U22" s="19"/>
      <c r="V22" s="20"/>
      <c r="W22" s="30"/>
    </row>
    <row r="23" spans="2:23" ht="8.25" customHeight="1" thickBot="1">
      <c r="B23" s="28"/>
      <c r="C23" s="18"/>
      <c r="D23" s="24"/>
      <c r="E23" s="19"/>
      <c r="F23" s="19"/>
      <c r="G23" s="52"/>
      <c r="H23" s="52"/>
      <c r="I23" s="19"/>
      <c r="J23" s="19"/>
      <c r="K23" s="20"/>
      <c r="L23" s="29"/>
      <c r="M23" s="18"/>
      <c r="N23" s="19"/>
      <c r="O23" s="19"/>
      <c r="P23" s="19"/>
      <c r="Q23" s="19"/>
      <c r="R23" s="19"/>
      <c r="S23" s="19"/>
      <c r="T23" s="19"/>
      <c r="U23" s="19"/>
      <c r="V23" s="20"/>
      <c r="W23" s="30"/>
    </row>
    <row r="24" spans="2:23" ht="13.5" thickBot="1">
      <c r="B24" s="28"/>
      <c r="C24" s="18"/>
      <c r="D24" s="42" t="s">
        <v>50</v>
      </c>
      <c r="E24" s="19"/>
      <c r="F24" s="19"/>
      <c r="G24" s="52"/>
      <c r="H24" s="52"/>
      <c r="I24" s="19"/>
      <c r="J24" s="50" t="str">
        <f>Calc_OUT_CC_MktInvest_Cost</f>
        <v>--</v>
      </c>
      <c r="K24" s="20"/>
      <c r="L24" s="29"/>
      <c r="M24" s="18"/>
      <c r="N24" s="19"/>
      <c r="O24" s="19"/>
      <c r="P24" s="19"/>
      <c r="Q24" s="19"/>
      <c r="R24" s="19"/>
      <c r="S24" s="19"/>
      <c r="T24" s="19"/>
      <c r="U24" s="19"/>
      <c r="V24" s="20"/>
      <c r="W24" s="30"/>
    </row>
    <row r="25" spans="2:23" ht="8.25" customHeight="1" thickBot="1">
      <c r="B25" s="28"/>
      <c r="C25" s="18"/>
      <c r="D25" s="24"/>
      <c r="E25" s="19"/>
      <c r="F25" s="19"/>
      <c r="G25" s="52"/>
      <c r="H25" s="52"/>
      <c r="I25" s="19"/>
      <c r="J25" s="19"/>
      <c r="K25" s="20"/>
      <c r="L25" s="29"/>
      <c r="M25" s="18"/>
      <c r="N25" s="19"/>
      <c r="O25" s="19"/>
      <c r="P25" s="19"/>
      <c r="Q25" s="19"/>
      <c r="R25" s="19"/>
      <c r="S25" s="19"/>
      <c r="T25" s="19"/>
      <c r="U25" s="19"/>
      <c r="V25" s="20"/>
      <c r="W25" s="30"/>
    </row>
    <row r="26" spans="2:23" ht="13.5" thickBot="1">
      <c r="B26" s="28"/>
      <c r="C26" s="18"/>
      <c r="D26" s="42" t="s">
        <v>1</v>
      </c>
      <c r="E26" s="19"/>
      <c r="F26" s="19"/>
      <c r="G26" s="52"/>
      <c r="H26" s="52"/>
      <c r="I26" s="19"/>
      <c r="J26" s="50" t="str">
        <f>Calc_OUT_CC_Labor_Cost</f>
        <v>--</v>
      </c>
      <c r="K26" s="20"/>
      <c r="L26" s="29"/>
      <c r="M26" s="18"/>
      <c r="N26" s="19"/>
      <c r="O26" s="19"/>
      <c r="P26" s="19"/>
      <c r="Q26" s="19"/>
      <c r="R26" s="19"/>
      <c r="S26" s="19"/>
      <c r="T26" s="19"/>
      <c r="U26" s="19"/>
      <c r="V26" s="20"/>
      <c r="W26" s="30"/>
    </row>
    <row r="27" spans="2:23" ht="8.25" customHeight="1" thickBot="1">
      <c r="B27" s="28"/>
      <c r="C27" s="18"/>
      <c r="D27" s="24"/>
      <c r="E27" s="19"/>
      <c r="F27" s="19"/>
      <c r="G27" s="52"/>
      <c r="H27" s="52"/>
      <c r="I27" s="19"/>
      <c r="J27" s="19"/>
      <c r="K27" s="20"/>
      <c r="L27" s="29"/>
      <c r="M27" s="18"/>
      <c r="N27" s="19"/>
      <c r="O27" s="19"/>
      <c r="P27" s="19"/>
      <c r="Q27" s="19"/>
      <c r="R27" s="19"/>
      <c r="S27" s="19"/>
      <c r="T27" s="19"/>
      <c r="U27" s="19"/>
      <c r="V27" s="20"/>
      <c r="W27" s="30"/>
    </row>
    <row r="28" spans="2:23" ht="13.5" thickBot="1">
      <c r="B28" s="28"/>
      <c r="C28" s="18"/>
      <c r="D28" s="42" t="s">
        <v>2</v>
      </c>
      <c r="E28" s="19"/>
      <c r="F28" s="19"/>
      <c r="G28" s="52"/>
      <c r="H28" s="52"/>
      <c r="I28" s="19"/>
      <c r="J28" s="50" t="str">
        <f>Calc_OUT_CC_RawMat_Cost</f>
        <v>--</v>
      </c>
      <c r="K28" s="20"/>
      <c r="L28" s="29"/>
      <c r="M28" s="18"/>
      <c r="N28" s="19"/>
      <c r="O28" s="19"/>
      <c r="P28" s="19"/>
      <c r="Q28" s="19"/>
      <c r="R28" s="19"/>
      <c r="S28" s="19"/>
      <c r="T28" s="19"/>
      <c r="U28" s="19"/>
      <c r="V28" s="20"/>
      <c r="W28" s="30"/>
    </row>
    <row r="29" spans="2:23" ht="8.25" customHeight="1" thickBot="1">
      <c r="B29" s="28"/>
      <c r="C29" s="18"/>
      <c r="D29" s="24"/>
      <c r="E29" s="19"/>
      <c r="F29" s="19"/>
      <c r="G29" s="52"/>
      <c r="H29" s="52"/>
      <c r="I29" s="19"/>
      <c r="J29" s="19"/>
      <c r="K29" s="20"/>
      <c r="L29" s="29"/>
      <c r="M29" s="18"/>
      <c r="N29" s="19"/>
      <c r="O29" s="19"/>
      <c r="P29" s="19"/>
      <c r="Q29" s="19"/>
      <c r="R29" s="19"/>
      <c r="S29" s="19"/>
      <c r="T29" s="19"/>
      <c r="U29" s="19"/>
      <c r="V29" s="20"/>
      <c r="W29" s="30"/>
    </row>
    <row r="30" spans="2:23" ht="13.5" thickBot="1">
      <c r="B30" s="28"/>
      <c r="C30" s="18"/>
      <c r="D30" s="42" t="s">
        <v>4</v>
      </c>
      <c r="E30" s="19"/>
      <c r="F30" s="19"/>
      <c r="G30" s="52"/>
      <c r="H30" s="52"/>
      <c r="I30" s="19"/>
      <c r="J30" s="50" t="str">
        <f>Calc_OUT_CC_Machinery_Cost</f>
        <v>--</v>
      </c>
      <c r="K30" s="20"/>
      <c r="L30" s="29"/>
      <c r="M30" s="18"/>
      <c r="N30" s="19"/>
      <c r="O30" s="19"/>
      <c r="P30" s="19"/>
      <c r="Q30" s="19"/>
      <c r="R30" s="19"/>
      <c r="S30" s="19"/>
      <c r="T30" s="19"/>
      <c r="U30" s="19"/>
      <c r="V30" s="20"/>
      <c r="W30" s="30"/>
    </row>
    <row r="31" spans="2:23" ht="8.25" customHeight="1" thickBot="1">
      <c r="B31" s="28"/>
      <c r="C31" s="18"/>
      <c r="D31" s="24"/>
      <c r="E31" s="19"/>
      <c r="F31" s="19"/>
      <c r="G31" s="52"/>
      <c r="H31" s="52"/>
      <c r="I31" s="19"/>
      <c r="J31" s="19"/>
      <c r="K31" s="20"/>
      <c r="L31" s="29"/>
      <c r="M31" s="18"/>
      <c r="N31" s="19"/>
      <c r="O31" s="19"/>
      <c r="P31" s="19"/>
      <c r="Q31" s="19"/>
      <c r="R31" s="19"/>
      <c r="S31" s="19"/>
      <c r="T31" s="19"/>
      <c r="U31" s="19"/>
      <c r="V31" s="20"/>
      <c r="W31" s="30"/>
    </row>
    <row r="32" spans="2:23" ht="13.5" thickBot="1">
      <c r="B32" s="28"/>
      <c r="C32" s="18"/>
      <c r="D32" s="42" t="s">
        <v>5</v>
      </c>
      <c r="E32" s="46"/>
      <c r="F32" s="19"/>
      <c r="G32" s="52"/>
      <c r="H32" s="52"/>
      <c r="I32" s="19"/>
      <c r="J32" s="50" t="str">
        <f>Calc_OUT_CC_Tools_Cost</f>
        <v>--</v>
      </c>
      <c r="K32" s="20"/>
      <c r="L32" s="29"/>
      <c r="M32" s="18"/>
      <c r="N32" s="19"/>
      <c r="O32" s="19"/>
      <c r="P32" s="19"/>
      <c r="Q32" s="19"/>
      <c r="R32" s="19"/>
      <c r="S32" s="19"/>
      <c r="T32" s="19"/>
      <c r="U32" s="19"/>
      <c r="V32" s="20"/>
      <c r="W32" s="30"/>
    </row>
    <row r="33" spans="2:23" ht="8.25" customHeight="1" thickBot="1">
      <c r="B33" s="28"/>
      <c r="C33" s="18"/>
      <c r="D33" s="24"/>
      <c r="E33" s="19"/>
      <c r="F33" s="19"/>
      <c r="G33" s="19"/>
      <c r="H33" s="19"/>
      <c r="I33" s="19"/>
      <c r="J33" s="19"/>
      <c r="K33" s="20"/>
      <c r="L33" s="29"/>
      <c r="M33" s="18"/>
      <c r="N33" s="19"/>
      <c r="O33" s="19"/>
      <c r="P33" s="19"/>
      <c r="Q33" s="19"/>
      <c r="R33" s="19"/>
      <c r="S33" s="19"/>
      <c r="T33" s="19"/>
      <c r="U33" s="19"/>
      <c r="V33" s="20"/>
      <c r="W33" s="30"/>
    </row>
    <row r="34" spans="2:23" ht="13.5" thickBot="1">
      <c r="B34" s="28"/>
      <c r="C34" s="18"/>
      <c r="D34" s="42" t="s">
        <v>6</v>
      </c>
      <c r="E34" s="46"/>
      <c r="F34" s="19"/>
      <c r="G34" s="19"/>
      <c r="H34" s="19"/>
      <c r="I34" s="19"/>
      <c r="J34" s="50" t="str">
        <f>Calc_OUT_CC_Outsource_Cost</f>
        <v>--</v>
      </c>
      <c r="K34" s="20"/>
      <c r="L34" s="29"/>
      <c r="M34" s="18"/>
      <c r="N34" s="19"/>
      <c r="O34" s="19"/>
      <c r="P34" s="19"/>
      <c r="Q34" s="19"/>
      <c r="R34" s="19"/>
      <c r="S34" s="19"/>
      <c r="T34" s="19"/>
      <c r="U34" s="19"/>
      <c r="V34" s="20"/>
      <c r="W34" s="30"/>
    </row>
    <row r="35" spans="2:23" ht="8.25" customHeight="1" thickBot="1">
      <c r="B35" s="28"/>
      <c r="C35" s="18"/>
      <c r="D35" s="19"/>
      <c r="E35" s="19"/>
      <c r="F35" s="19"/>
      <c r="G35" s="19"/>
      <c r="H35" s="19"/>
      <c r="I35" s="19"/>
      <c r="J35" s="19"/>
      <c r="K35" s="20"/>
      <c r="L35" s="29"/>
      <c r="M35" s="18"/>
      <c r="N35" s="19"/>
      <c r="O35" s="19"/>
      <c r="P35" s="19"/>
      <c r="Q35" s="19"/>
      <c r="R35" s="19"/>
      <c r="S35" s="19"/>
      <c r="T35" s="19"/>
      <c r="U35" s="19"/>
      <c r="V35" s="20"/>
      <c r="W35" s="30"/>
    </row>
    <row r="36" spans="2:23" ht="6" customHeight="1" thickBot="1" thickTop="1">
      <c r="B36" s="28"/>
      <c r="C36" s="18"/>
      <c r="D36" s="51"/>
      <c r="E36" s="51"/>
      <c r="F36" s="51"/>
      <c r="G36" s="51"/>
      <c r="H36" s="51"/>
      <c r="I36" s="51"/>
      <c r="J36" s="51"/>
      <c r="K36" s="20"/>
      <c r="L36" s="29"/>
      <c r="M36" s="18"/>
      <c r="N36" s="19"/>
      <c r="O36" s="19"/>
      <c r="P36" s="19"/>
      <c r="Q36" s="19"/>
      <c r="R36" s="19"/>
      <c r="S36" s="19"/>
      <c r="T36" s="19"/>
      <c r="U36" s="19"/>
      <c r="V36" s="20"/>
      <c r="W36" s="30"/>
    </row>
    <row r="37" spans="2:23" ht="13.5" thickBot="1">
      <c r="B37" s="28"/>
      <c r="C37" s="18"/>
      <c r="D37" s="19"/>
      <c r="E37" s="19"/>
      <c r="F37" s="19"/>
      <c r="G37" s="293" t="s">
        <v>52</v>
      </c>
      <c r="H37" s="293"/>
      <c r="I37" s="296"/>
      <c r="J37" s="50" t="str">
        <f>Calc_OUT_KPI_FixedCost</f>
        <v>--</v>
      </c>
      <c r="K37" s="20"/>
      <c r="L37" s="29"/>
      <c r="M37" s="18"/>
      <c r="N37" s="19"/>
      <c r="O37" s="19"/>
      <c r="P37" s="19"/>
      <c r="Q37" s="19"/>
      <c r="R37" s="19"/>
      <c r="S37" s="19"/>
      <c r="T37" s="19"/>
      <c r="U37" s="19"/>
      <c r="V37" s="20"/>
      <c r="W37" s="30"/>
    </row>
    <row r="38" spans="2:23" ht="6" customHeight="1" thickBot="1">
      <c r="B38" s="28"/>
      <c r="C38" s="18"/>
      <c r="D38" s="19"/>
      <c r="E38" s="19"/>
      <c r="F38" s="19"/>
      <c r="G38" s="19"/>
      <c r="H38" s="19"/>
      <c r="I38" s="19"/>
      <c r="J38" s="19"/>
      <c r="K38" s="20"/>
      <c r="L38" s="29"/>
      <c r="M38" s="18"/>
      <c r="N38" s="19"/>
      <c r="O38" s="19"/>
      <c r="P38" s="19"/>
      <c r="Q38" s="19"/>
      <c r="R38" s="19"/>
      <c r="S38" s="19"/>
      <c r="T38" s="19"/>
      <c r="U38" s="19"/>
      <c r="V38" s="20"/>
      <c r="W38" s="30"/>
    </row>
    <row r="39" spans="2:23" ht="13.5" thickBot="1">
      <c r="B39" s="28"/>
      <c r="C39" s="18"/>
      <c r="D39" s="19"/>
      <c r="E39" s="19"/>
      <c r="F39" s="19"/>
      <c r="G39" s="293" t="s">
        <v>53</v>
      </c>
      <c r="H39" s="293"/>
      <c r="I39" s="296"/>
      <c r="J39" s="50" t="str">
        <f>Calc_OUT_KPI_VarCost</f>
        <v>--</v>
      </c>
      <c r="K39" s="20"/>
      <c r="L39" s="29"/>
      <c r="M39" s="18"/>
      <c r="N39" s="19"/>
      <c r="O39" s="19"/>
      <c r="P39" s="19"/>
      <c r="Q39" s="19"/>
      <c r="R39" s="19"/>
      <c r="S39" s="19"/>
      <c r="T39" s="19"/>
      <c r="U39" s="19"/>
      <c r="V39" s="20"/>
      <c r="W39" s="30"/>
    </row>
    <row r="40" spans="2:23" ht="6" customHeight="1" thickBot="1">
      <c r="B40" s="28"/>
      <c r="C40" s="21"/>
      <c r="D40" s="22"/>
      <c r="E40" s="22"/>
      <c r="F40" s="22"/>
      <c r="G40" s="22"/>
      <c r="H40" s="22"/>
      <c r="I40" s="22"/>
      <c r="J40" s="22"/>
      <c r="K40" s="23"/>
      <c r="L40" s="29"/>
      <c r="M40" s="21"/>
      <c r="N40" s="22"/>
      <c r="O40" s="22"/>
      <c r="P40" s="22"/>
      <c r="Q40" s="22"/>
      <c r="R40" s="22"/>
      <c r="S40" s="22"/>
      <c r="T40" s="22"/>
      <c r="U40" s="22"/>
      <c r="V40" s="23"/>
      <c r="W40" s="30"/>
    </row>
    <row r="41" spans="2:23" ht="6" customHeight="1" thickTop="1">
      <c r="B41" s="28"/>
      <c r="C41" s="29"/>
      <c r="D41" s="29"/>
      <c r="E41" s="29"/>
      <c r="F41" s="29"/>
      <c r="G41" s="29"/>
      <c r="H41" s="29"/>
      <c r="I41" s="29"/>
      <c r="J41" s="29"/>
      <c r="K41" s="29"/>
      <c r="L41" s="29"/>
      <c r="M41" s="29"/>
      <c r="N41" s="29"/>
      <c r="O41" s="29"/>
      <c r="P41" s="29"/>
      <c r="Q41" s="29"/>
      <c r="R41" s="29"/>
      <c r="S41" s="29"/>
      <c r="T41" s="29"/>
      <c r="U41" s="29"/>
      <c r="V41" s="29"/>
      <c r="W41" s="30"/>
    </row>
    <row r="42" spans="2:23" ht="12.75">
      <c r="B42" s="28"/>
      <c r="C42" s="399" t="s">
        <v>58</v>
      </c>
      <c r="D42" s="399"/>
      <c r="E42" s="29"/>
      <c r="F42" s="399" t="s">
        <v>22</v>
      </c>
      <c r="G42" s="399"/>
      <c r="H42" s="29"/>
      <c r="I42" s="399" t="s">
        <v>59</v>
      </c>
      <c r="J42" s="399"/>
      <c r="K42" s="29"/>
      <c r="L42" s="29"/>
      <c r="M42" s="399" t="s">
        <v>60</v>
      </c>
      <c r="N42" s="399"/>
      <c r="O42" s="399"/>
      <c r="P42" s="29"/>
      <c r="Q42" s="29"/>
      <c r="R42" s="399" t="s">
        <v>61</v>
      </c>
      <c r="S42" s="399"/>
      <c r="T42" s="29"/>
      <c r="U42" s="400" t="s">
        <v>62</v>
      </c>
      <c r="V42" s="400"/>
      <c r="W42" s="30"/>
    </row>
    <row r="43" spans="2:23" ht="6" customHeight="1" thickBot="1">
      <c r="B43" s="31"/>
      <c r="C43" s="32"/>
      <c r="D43" s="32"/>
      <c r="E43" s="32"/>
      <c r="F43" s="32"/>
      <c r="G43" s="32"/>
      <c r="H43" s="32"/>
      <c r="I43" s="32"/>
      <c r="J43" s="32"/>
      <c r="K43" s="32"/>
      <c r="L43" s="32"/>
      <c r="M43" s="32"/>
      <c r="N43" s="32"/>
      <c r="O43" s="32"/>
      <c r="P43" s="32"/>
      <c r="Q43" s="32"/>
      <c r="R43" s="32"/>
      <c r="S43" s="32"/>
      <c r="T43" s="32"/>
      <c r="U43" s="32"/>
      <c r="V43" s="32"/>
      <c r="W43" s="33"/>
    </row>
    <row r="44" ht="9.75" customHeight="1"/>
    <row r="47" spans="10:11" ht="12.75">
      <c r="J47" s="236"/>
      <c r="K47" s="236"/>
    </row>
  </sheetData>
  <mergeCells count="35">
    <mergeCell ref="R2:T3"/>
    <mergeCell ref="Q5:U5"/>
    <mergeCell ref="U2:V3"/>
    <mergeCell ref="N2:P3"/>
    <mergeCell ref="U42:V42"/>
    <mergeCell ref="R42:S42"/>
    <mergeCell ref="M42:O42"/>
    <mergeCell ref="K17:M17"/>
    <mergeCell ref="M20:Q20"/>
    <mergeCell ref="R17:T17"/>
    <mergeCell ref="C42:D42"/>
    <mergeCell ref="G37:I37"/>
    <mergeCell ref="G39:I39"/>
    <mergeCell ref="F42:G42"/>
    <mergeCell ref="I42:J42"/>
    <mergeCell ref="C2:E3"/>
    <mergeCell ref="G7:I7"/>
    <mergeCell ref="G9:I9"/>
    <mergeCell ref="D17:E17"/>
    <mergeCell ref="D11:F11"/>
    <mergeCell ref="H17:I17"/>
    <mergeCell ref="F17:G17"/>
    <mergeCell ref="G2:M3"/>
    <mergeCell ref="L12:M12"/>
    <mergeCell ref="M8:N8"/>
    <mergeCell ref="R15:T15"/>
    <mergeCell ref="D7:E7"/>
    <mergeCell ref="C20:E20"/>
    <mergeCell ref="C15:E15"/>
    <mergeCell ref="R13:T13"/>
    <mergeCell ref="R11:T11"/>
    <mergeCell ref="R9:T9"/>
    <mergeCell ref="R7:T7"/>
    <mergeCell ref="K11:O11"/>
    <mergeCell ref="J7:N7"/>
  </mergeCells>
  <dataValidations count="1">
    <dataValidation type="list" allowBlank="1" showInputMessage="1" showErrorMessage="1" sqref="D17:E17 H17:I17 K17:M17">
      <formula1>LUV_BEF_DropDowns</formula1>
    </dataValidation>
  </dataValidations>
  <hyperlinks>
    <hyperlink ref="R42:S42" r:id="rId1" display="Help"/>
    <hyperlink ref="C42:D42" location="'CFO Feedback'!A1" display="CFO"/>
    <hyperlink ref="F42:G42" location="'MKT Feedback'!A1" display="Marketing"/>
    <hyperlink ref="I42:J42" location="'MFG Feedback'!A1" display="Manufacturing"/>
    <hyperlink ref="M42:O42" r:id="rId2" display="Glossary"/>
  </hyperlinks>
  <printOptions/>
  <pageMargins left="0.75" right="0.75" top="1" bottom="1" header="0.5" footer="0.5"/>
  <pageSetup horizontalDpi="600" verticalDpi="600" orientation="portrait" r:id="rId6"/>
  <drawing r:id="rId5"/>
  <legacyDrawing r:id="rId4"/>
</worksheet>
</file>

<file path=xl/worksheets/sheet2.xml><?xml version="1.0" encoding="utf-8"?>
<worksheet xmlns="http://schemas.openxmlformats.org/spreadsheetml/2006/main" xmlns:r="http://schemas.openxmlformats.org/officeDocument/2006/relationships">
  <sheetPr codeName="Sheet2"/>
  <dimension ref="B1:BA45"/>
  <sheetViews>
    <sheetView zoomScale="80" zoomScaleNormal="80" workbookViewId="0" topLeftCell="A1">
      <selection activeCell="W56" sqref="W56"/>
    </sheetView>
  </sheetViews>
  <sheetFormatPr defaultColWidth="9.140625" defaultRowHeight="12.75"/>
  <cols>
    <col min="1" max="1" width="1.7109375" style="0" customWidth="1"/>
    <col min="2" max="2" width="2.8515625" style="0" customWidth="1"/>
    <col min="3" max="9" width="4.28125" style="0" customWidth="1"/>
    <col min="10" max="19" width="4.140625" style="0" customWidth="1"/>
    <col min="20" max="21" width="4.28125" style="0" customWidth="1"/>
    <col min="22" max="22" width="3.00390625" style="0" customWidth="1"/>
    <col min="23" max="36" width="4.28125" style="0" customWidth="1"/>
    <col min="37" max="37" width="2.8515625" style="0" customWidth="1"/>
    <col min="38" max="38" width="2.57421875" style="0" customWidth="1"/>
    <col min="39" max="39" width="23.421875" style="0" customWidth="1"/>
    <col min="40" max="40" width="13.57421875" style="0" bestFit="1" customWidth="1"/>
    <col min="41" max="41" width="12.28125" style="0" bestFit="1" customWidth="1"/>
    <col min="43" max="43" width="16.7109375" style="0" bestFit="1" customWidth="1"/>
    <col min="44" max="44" width="12.140625" style="0" bestFit="1" customWidth="1"/>
    <col min="45" max="45" width="20.8515625" style="0" bestFit="1" customWidth="1"/>
    <col min="46" max="46" width="22.421875" style="0" bestFit="1" customWidth="1"/>
    <col min="47" max="47" width="22.00390625" style="0" bestFit="1" customWidth="1"/>
  </cols>
  <sheetData>
    <row r="1" spans="22:38" ht="6.75" customHeight="1" thickBot="1">
      <c r="V1" s="8"/>
      <c r="W1" s="8"/>
      <c r="X1" s="8"/>
      <c r="Y1" s="8"/>
      <c r="Z1" s="8"/>
      <c r="AA1" s="8"/>
      <c r="AB1" s="8"/>
      <c r="AC1" s="8"/>
      <c r="AD1" s="8"/>
      <c r="AE1" s="8"/>
      <c r="AF1" s="8"/>
      <c r="AG1" s="8"/>
      <c r="AH1" s="8"/>
      <c r="AI1" s="8"/>
      <c r="AJ1" s="8"/>
      <c r="AK1" s="8"/>
      <c r="AL1" s="8"/>
    </row>
    <row r="2" spans="2:47" ht="20.25" customHeight="1" thickBot="1">
      <c r="B2" s="349" t="s">
        <v>435</v>
      </c>
      <c r="C2" s="350"/>
      <c r="D2" s="350"/>
      <c r="E2" s="350"/>
      <c r="F2" s="350"/>
      <c r="G2" s="350"/>
      <c r="H2" s="350"/>
      <c r="I2" s="350"/>
      <c r="J2" s="350"/>
      <c r="K2" s="350"/>
      <c r="L2" s="350"/>
      <c r="M2" s="350"/>
      <c r="N2" s="350"/>
      <c r="O2" s="350"/>
      <c r="P2" s="350"/>
      <c r="Q2" s="350"/>
      <c r="R2" s="350"/>
      <c r="S2" s="350"/>
      <c r="T2" s="350"/>
      <c r="U2" s="351"/>
      <c r="V2" s="248"/>
      <c r="W2" s="352" t="s">
        <v>436</v>
      </c>
      <c r="X2" s="353"/>
      <c r="Y2" s="353"/>
      <c r="Z2" s="353"/>
      <c r="AA2" s="353"/>
      <c r="AB2" s="354"/>
      <c r="AC2" s="354"/>
      <c r="AD2" s="354"/>
      <c r="AE2" s="354"/>
      <c r="AF2" s="354"/>
      <c r="AG2" s="354"/>
      <c r="AH2" s="354"/>
      <c r="AI2" s="354"/>
      <c r="AJ2" s="354"/>
      <c r="AK2" s="355"/>
      <c r="AM2" s="316" t="s">
        <v>445</v>
      </c>
      <c r="AN2" s="317"/>
      <c r="AO2" s="317"/>
      <c r="AP2" s="317"/>
      <c r="AQ2" s="317"/>
      <c r="AR2" s="317"/>
      <c r="AS2" s="317"/>
      <c r="AT2" s="317"/>
      <c r="AU2" s="318"/>
    </row>
    <row r="3" spans="2:37" ht="6" customHeight="1" thickBot="1">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row>
    <row r="4" spans="2:37" ht="6.75" customHeight="1">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7"/>
    </row>
    <row r="5" spans="2:53" ht="13.5" customHeight="1" thickBot="1">
      <c r="B5" s="28"/>
      <c r="C5" s="250" t="s">
        <v>134</v>
      </c>
      <c r="D5" s="29"/>
      <c r="E5" s="29"/>
      <c r="F5" s="29"/>
      <c r="G5" s="29"/>
      <c r="H5" s="29"/>
      <c r="I5" s="29"/>
      <c r="J5" s="29"/>
      <c r="K5" s="29"/>
      <c r="L5" s="29"/>
      <c r="M5" s="29"/>
      <c r="N5" s="29"/>
      <c r="O5" s="29"/>
      <c r="P5" s="29"/>
      <c r="Q5" s="29"/>
      <c r="R5" s="29"/>
      <c r="S5" s="29"/>
      <c r="T5" s="29"/>
      <c r="U5" s="29"/>
      <c r="V5" s="29"/>
      <c r="W5" s="250" t="s">
        <v>54</v>
      </c>
      <c r="X5" s="250"/>
      <c r="Y5" s="250"/>
      <c r="Z5" s="250"/>
      <c r="AA5" s="250"/>
      <c r="AB5" s="29"/>
      <c r="AC5" s="29"/>
      <c r="AD5" s="29"/>
      <c r="AE5" s="29"/>
      <c r="AF5" s="29"/>
      <c r="AG5" s="29"/>
      <c r="AH5" s="29"/>
      <c r="AI5" s="29"/>
      <c r="AJ5" s="29"/>
      <c r="AK5" s="30"/>
      <c r="AM5" s="279" t="s">
        <v>449</v>
      </c>
      <c r="AN5" s="280"/>
      <c r="AO5" s="280"/>
      <c r="AQ5" s="279" t="s">
        <v>452</v>
      </c>
      <c r="AR5" s="280"/>
      <c r="AS5" s="280"/>
      <c r="AT5" s="280"/>
      <c r="AU5" s="280"/>
      <c r="AW5" s="81" t="s">
        <v>215</v>
      </c>
      <c r="AX5" s="81"/>
      <c r="AZ5" s="81" t="s">
        <v>215</v>
      </c>
      <c r="BA5" s="81"/>
    </row>
    <row r="6" spans="2:53" ht="13.5" thickBot="1">
      <c r="B6" s="28"/>
      <c r="C6" s="251"/>
      <c r="D6" s="252"/>
      <c r="E6" s="252"/>
      <c r="F6" s="252"/>
      <c r="G6" s="252"/>
      <c r="H6" s="252"/>
      <c r="I6" s="252"/>
      <c r="J6" s="252"/>
      <c r="K6" s="252"/>
      <c r="L6" s="252"/>
      <c r="M6" s="252"/>
      <c r="N6" s="252"/>
      <c r="O6" s="252"/>
      <c r="P6" s="252"/>
      <c r="Q6" s="252"/>
      <c r="R6" s="252"/>
      <c r="S6" s="252"/>
      <c r="T6" s="252"/>
      <c r="U6" s="253"/>
      <c r="V6" s="29"/>
      <c r="W6" s="251"/>
      <c r="X6" s="252"/>
      <c r="Y6" s="252"/>
      <c r="Z6" s="252"/>
      <c r="AA6" s="252"/>
      <c r="AB6" s="252"/>
      <c r="AC6" s="252"/>
      <c r="AD6" s="252"/>
      <c r="AE6" s="252"/>
      <c r="AF6" s="252"/>
      <c r="AG6" s="252"/>
      <c r="AH6" s="252"/>
      <c r="AI6" s="252"/>
      <c r="AJ6" s="253"/>
      <c r="AK6" s="30"/>
      <c r="AM6" s="68" t="s">
        <v>446</v>
      </c>
      <c r="AN6" s="68" t="s">
        <v>447</v>
      </c>
      <c r="AO6" s="68" t="s">
        <v>214</v>
      </c>
      <c r="AQ6" s="282" t="s">
        <v>453</v>
      </c>
      <c r="AR6" s="283" t="s">
        <v>456</v>
      </c>
      <c r="AS6" s="284" t="s">
        <v>443</v>
      </c>
      <c r="AT6" s="284" t="s">
        <v>448</v>
      </c>
      <c r="AU6" s="276" t="s">
        <v>444</v>
      </c>
      <c r="AW6" s="68" t="s">
        <v>3</v>
      </c>
      <c r="AX6" s="68" t="s">
        <v>8</v>
      </c>
      <c r="AZ6" s="68" t="s">
        <v>63</v>
      </c>
      <c r="BA6" s="68" t="s">
        <v>8</v>
      </c>
    </row>
    <row r="7" spans="2:53" ht="13.5" thickBot="1">
      <c r="B7" s="28"/>
      <c r="C7" s="254"/>
      <c r="D7" s="255" t="s">
        <v>437</v>
      </c>
      <c r="E7" s="255"/>
      <c r="F7" s="255"/>
      <c r="G7" s="255"/>
      <c r="H7" s="255"/>
      <c r="I7" s="255"/>
      <c r="J7" s="346" t="s">
        <v>444</v>
      </c>
      <c r="K7" s="347"/>
      <c r="L7" s="347"/>
      <c r="M7" s="347"/>
      <c r="N7" s="347"/>
      <c r="O7" s="347"/>
      <c r="P7" s="347"/>
      <c r="Q7" s="347"/>
      <c r="R7" s="347"/>
      <c r="S7" s="347"/>
      <c r="T7" s="348"/>
      <c r="U7" s="256"/>
      <c r="V7" s="29"/>
      <c r="W7" s="254"/>
      <c r="X7" s="257" t="s">
        <v>27</v>
      </c>
      <c r="Y7" s="257"/>
      <c r="Z7" s="257"/>
      <c r="AA7" s="257"/>
      <c r="AB7" s="257"/>
      <c r="AC7" s="356" t="str">
        <f>Calc_OUT_Demand</f>
        <v>--</v>
      </c>
      <c r="AD7" s="357"/>
      <c r="AE7" s="357"/>
      <c r="AF7" s="357"/>
      <c r="AG7" s="357"/>
      <c r="AH7" s="357"/>
      <c r="AI7" s="358"/>
      <c r="AJ7" s="256"/>
      <c r="AK7" s="30"/>
      <c r="AM7" s="65" t="s">
        <v>3</v>
      </c>
      <c r="AN7" s="66" t="str">
        <f ca="1">OFFSET(AQ7,0,MATCH(DataSourceSelector_Production,DataSource_Production,0)-1)</f>
        <v>Lease</v>
      </c>
      <c r="AO7" s="290" t="b">
        <f>LOOKUP(AN7,LUV_Test_OptionButton_Plant,LUV_Test_OptionButton_Plant_Value)</f>
        <v>0</v>
      </c>
      <c r="AQ7" s="277" t="s">
        <v>40</v>
      </c>
      <c r="AR7" s="277" t="s">
        <v>41</v>
      </c>
      <c r="AS7" s="287" t="s">
        <v>41</v>
      </c>
      <c r="AT7" s="287" t="s">
        <v>40</v>
      </c>
      <c r="AU7" s="287" t="s">
        <v>41</v>
      </c>
      <c r="AW7" s="66" t="s">
        <v>40</v>
      </c>
      <c r="AX7" s="1" t="b">
        <v>1</v>
      </c>
      <c r="AZ7" s="66" t="s">
        <v>51</v>
      </c>
      <c r="BA7" s="1" t="b">
        <v>1</v>
      </c>
    </row>
    <row r="8" spans="2:53" ht="13.5" thickBot="1">
      <c r="B8" s="28"/>
      <c r="C8" s="258"/>
      <c r="D8" s="259"/>
      <c r="E8" s="259"/>
      <c r="F8" s="259"/>
      <c r="G8" s="259"/>
      <c r="H8" s="259"/>
      <c r="I8" s="259"/>
      <c r="J8" s="259"/>
      <c r="K8" s="259"/>
      <c r="L8" s="259"/>
      <c r="M8" s="259"/>
      <c r="N8" s="259"/>
      <c r="O8" s="259"/>
      <c r="P8" s="259"/>
      <c r="Q8" s="259"/>
      <c r="R8" s="259"/>
      <c r="S8" s="259"/>
      <c r="T8" s="259"/>
      <c r="U8" s="260"/>
      <c r="V8" s="29"/>
      <c r="W8" s="254"/>
      <c r="X8" s="19"/>
      <c r="Y8" s="19"/>
      <c r="Z8" s="19"/>
      <c r="AA8" s="19"/>
      <c r="AB8" s="19"/>
      <c r="AC8" s="24"/>
      <c r="AD8" s="24"/>
      <c r="AE8" s="24"/>
      <c r="AF8" s="24"/>
      <c r="AG8" s="24"/>
      <c r="AH8" s="24"/>
      <c r="AI8" s="24"/>
      <c r="AJ8" s="256"/>
      <c r="AK8" s="30"/>
      <c r="AM8" s="65" t="s">
        <v>45</v>
      </c>
      <c r="AN8" s="292">
        <f ca="1">OFFSET(AQ8,0,MATCH(DataSourceSelector_Production,DataSource_Production,0)-1)</f>
        <v>0.2</v>
      </c>
      <c r="AO8" s="290">
        <f>AN8*100</f>
        <v>20</v>
      </c>
      <c r="AQ8" s="285">
        <v>0.22</v>
      </c>
      <c r="AR8" s="285">
        <v>0.59</v>
      </c>
      <c r="AS8" s="285">
        <v>0.2</v>
      </c>
      <c r="AT8" s="285">
        <v>0.08</v>
      </c>
      <c r="AU8" s="285">
        <v>0.2</v>
      </c>
      <c r="AW8" s="66" t="s">
        <v>41</v>
      </c>
      <c r="AX8" s="1" t="b">
        <v>0</v>
      </c>
      <c r="AZ8" s="288" t="s">
        <v>213</v>
      </c>
      <c r="BA8" s="1" t="e">
        <v>#N/A</v>
      </c>
    </row>
    <row r="9" spans="2:53" ht="13.5" thickBot="1">
      <c r="B9" s="28"/>
      <c r="C9" s="29"/>
      <c r="D9" s="29"/>
      <c r="E9" s="29"/>
      <c r="F9" s="29"/>
      <c r="G9" s="29"/>
      <c r="H9" s="29"/>
      <c r="I9" s="29"/>
      <c r="J9" s="29"/>
      <c r="K9" s="29"/>
      <c r="L9" s="29"/>
      <c r="M9" s="29"/>
      <c r="N9" s="29"/>
      <c r="O9" s="29"/>
      <c r="P9" s="29"/>
      <c r="Q9" s="29"/>
      <c r="R9" s="29"/>
      <c r="S9" s="29"/>
      <c r="T9" s="29"/>
      <c r="U9" s="29"/>
      <c r="V9" s="29"/>
      <c r="W9" s="254"/>
      <c r="X9" s="19" t="s">
        <v>43</v>
      </c>
      <c r="Y9" s="19"/>
      <c r="Z9" s="19"/>
      <c r="AA9" s="19"/>
      <c r="AB9" s="19"/>
      <c r="AC9" s="337" t="str">
        <f>Calc_OUT_KPI_FixedCost</f>
        <v>--</v>
      </c>
      <c r="AD9" s="338"/>
      <c r="AE9" s="338"/>
      <c r="AF9" s="338"/>
      <c r="AG9" s="338"/>
      <c r="AH9" s="338"/>
      <c r="AI9" s="339"/>
      <c r="AJ9" s="256"/>
      <c r="AK9" s="30"/>
      <c r="AM9" s="65" t="s">
        <v>47</v>
      </c>
      <c r="AN9" s="292">
        <f ca="1">OFFSET(AQ9,0,MATCH(DataSourceSelector_Production,DataSource_Production,0)-1)</f>
        <v>0.2</v>
      </c>
      <c r="AO9" s="290">
        <f>AN9*100</f>
        <v>20</v>
      </c>
      <c r="AQ9" s="285">
        <v>0.35</v>
      </c>
      <c r="AR9" s="285">
        <v>0.17</v>
      </c>
      <c r="AS9" s="285">
        <v>0.2</v>
      </c>
      <c r="AT9" s="285">
        <v>0.08</v>
      </c>
      <c r="AU9" s="285">
        <v>0.2</v>
      </c>
      <c r="AW9" s="288" t="s">
        <v>213</v>
      </c>
      <c r="AX9" s="1" t="e">
        <v>#N/A</v>
      </c>
      <c r="AZ9" s="66" t="s">
        <v>7</v>
      </c>
      <c r="BA9" s="1" t="b">
        <v>0</v>
      </c>
    </row>
    <row r="10" spans="2:47" ht="13.5" thickBot="1">
      <c r="B10" s="28"/>
      <c r="C10" s="250" t="s">
        <v>48</v>
      </c>
      <c r="D10" s="29"/>
      <c r="E10" s="29"/>
      <c r="F10" s="29"/>
      <c r="G10" s="29"/>
      <c r="H10" s="29"/>
      <c r="I10" s="29"/>
      <c r="J10" s="29"/>
      <c r="K10" s="29"/>
      <c r="L10" s="29"/>
      <c r="M10" s="29"/>
      <c r="N10" s="29"/>
      <c r="O10" s="29"/>
      <c r="P10" s="29"/>
      <c r="Q10" s="29"/>
      <c r="R10" s="29"/>
      <c r="S10" s="29"/>
      <c r="T10" s="29"/>
      <c r="U10" s="29"/>
      <c r="V10" s="29"/>
      <c r="W10" s="254"/>
      <c r="X10" s="19" t="s">
        <v>0</v>
      </c>
      <c r="Y10" s="19"/>
      <c r="Z10" s="19"/>
      <c r="AA10" s="19"/>
      <c r="AB10" s="19"/>
      <c r="AC10" s="337" t="str">
        <f>Calc_OUT_KPI_VarCost</f>
        <v>--</v>
      </c>
      <c r="AD10" s="338"/>
      <c r="AE10" s="338"/>
      <c r="AF10" s="338"/>
      <c r="AG10" s="338"/>
      <c r="AH10" s="338"/>
      <c r="AI10" s="339"/>
      <c r="AJ10" s="256"/>
      <c r="AK10" s="30"/>
      <c r="AM10" s="65" t="s">
        <v>21</v>
      </c>
      <c r="AN10" s="291">
        <f ca="1">OFFSET(AQ10,0,MATCH(DataSourceSelector_Production,DataSource_Production,0)-1)</f>
        <v>500000</v>
      </c>
      <c r="AO10" s="281"/>
      <c r="AQ10" s="286">
        <v>500000</v>
      </c>
      <c r="AR10" s="286">
        <v>800000</v>
      </c>
      <c r="AS10" s="286">
        <v>650000</v>
      </c>
      <c r="AT10" s="286">
        <v>500000</v>
      </c>
      <c r="AU10" s="286">
        <v>500000</v>
      </c>
    </row>
    <row r="11" spans="2:47" ht="13.5" thickBot="1">
      <c r="B11" s="28"/>
      <c r="C11" s="251"/>
      <c r="D11" s="252"/>
      <c r="E11" s="252"/>
      <c r="F11" s="252"/>
      <c r="G11" s="252"/>
      <c r="H11" s="252"/>
      <c r="I11" s="252"/>
      <c r="J11" s="252"/>
      <c r="K11" s="252"/>
      <c r="L11" s="252"/>
      <c r="M11" s="252"/>
      <c r="N11" s="252"/>
      <c r="O11" s="252"/>
      <c r="P11" s="252"/>
      <c r="Q11" s="252"/>
      <c r="R11" s="252"/>
      <c r="S11" s="252"/>
      <c r="T11" s="252"/>
      <c r="U11" s="253"/>
      <c r="V11" s="29"/>
      <c r="W11" s="254"/>
      <c r="X11" s="19" t="s">
        <v>216</v>
      </c>
      <c r="Y11" s="19"/>
      <c r="Z11" s="19"/>
      <c r="AA11" s="19"/>
      <c r="AB11" s="19"/>
      <c r="AC11" s="340" t="str">
        <f>Calc_OUT_KPI_Capacity</f>
        <v>--</v>
      </c>
      <c r="AD11" s="341"/>
      <c r="AE11" s="341"/>
      <c r="AF11" s="341"/>
      <c r="AG11" s="341"/>
      <c r="AH11" s="341"/>
      <c r="AI11" s="342"/>
      <c r="AJ11" s="256"/>
      <c r="AK11" s="30"/>
      <c r="AM11" s="65" t="s">
        <v>46</v>
      </c>
      <c r="AN11" s="291">
        <f ca="1">OFFSET(AQ11,0,MATCH(DataSourceSelector_Production,DataSource_Production,0)-1)</f>
        <v>295</v>
      </c>
      <c r="AO11" s="281"/>
      <c r="AQ11" s="286">
        <v>500</v>
      </c>
      <c r="AR11" s="286">
        <v>460</v>
      </c>
      <c r="AS11" s="286">
        <v>400</v>
      </c>
      <c r="AT11" s="286">
        <v>550</v>
      </c>
      <c r="AU11" s="286">
        <v>295</v>
      </c>
    </row>
    <row r="12" spans="2:40" ht="13.5" thickBot="1">
      <c r="B12" s="28"/>
      <c r="C12" s="254"/>
      <c r="D12" s="255" t="s">
        <v>11</v>
      </c>
      <c r="E12" s="255"/>
      <c r="F12" s="255"/>
      <c r="G12" s="255"/>
      <c r="H12" s="255"/>
      <c r="I12" s="24"/>
      <c r="J12" s="346" t="s">
        <v>438</v>
      </c>
      <c r="K12" s="347"/>
      <c r="L12" s="347"/>
      <c r="M12" s="347"/>
      <c r="N12" s="347"/>
      <c r="O12" s="347"/>
      <c r="P12" s="347"/>
      <c r="Q12" s="347"/>
      <c r="R12" s="347"/>
      <c r="S12" s="347"/>
      <c r="T12" s="348"/>
      <c r="U12" s="256"/>
      <c r="V12" s="29"/>
      <c r="W12" s="254"/>
      <c r="X12" s="19" t="s">
        <v>10</v>
      </c>
      <c r="Y12" s="19"/>
      <c r="Z12" s="19"/>
      <c r="AA12" s="19"/>
      <c r="AB12" s="19"/>
      <c r="AC12" s="340" t="str">
        <f>Calc_OUT_KPI_BEVolume</f>
        <v>--</v>
      </c>
      <c r="AD12" s="341"/>
      <c r="AE12" s="341"/>
      <c r="AF12" s="341"/>
      <c r="AG12" s="341"/>
      <c r="AH12" s="341"/>
      <c r="AI12" s="342"/>
      <c r="AJ12" s="256"/>
      <c r="AK12" s="30"/>
      <c r="AN12" s="289"/>
    </row>
    <row r="13" spans="2:46" ht="13.5" thickBot="1">
      <c r="B13" s="28"/>
      <c r="C13" s="258"/>
      <c r="D13" s="259"/>
      <c r="E13" s="259"/>
      <c r="F13" s="259"/>
      <c r="G13" s="259"/>
      <c r="H13" s="259"/>
      <c r="I13" s="259"/>
      <c r="J13" s="259"/>
      <c r="K13" s="259"/>
      <c r="L13" s="259"/>
      <c r="M13" s="259"/>
      <c r="N13" s="259"/>
      <c r="O13" s="259"/>
      <c r="P13" s="259"/>
      <c r="Q13" s="259"/>
      <c r="R13" s="259"/>
      <c r="S13" s="259"/>
      <c r="T13" s="259"/>
      <c r="U13" s="260"/>
      <c r="V13" s="29"/>
      <c r="W13" s="254"/>
      <c r="X13" s="19" t="s">
        <v>18</v>
      </c>
      <c r="Y13" s="19"/>
      <c r="Z13" s="19"/>
      <c r="AA13" s="19"/>
      <c r="AB13" s="19"/>
      <c r="AC13" s="337" t="str">
        <f>Calc_OUT_KPI_BERevenue</f>
        <v>--</v>
      </c>
      <c r="AD13" s="338"/>
      <c r="AE13" s="338"/>
      <c r="AF13" s="338"/>
      <c r="AG13" s="338"/>
      <c r="AH13" s="338"/>
      <c r="AI13" s="339"/>
      <c r="AJ13" s="256"/>
      <c r="AK13" s="30"/>
      <c r="AM13" s="279" t="s">
        <v>450</v>
      </c>
      <c r="AN13" s="280"/>
      <c r="AO13" s="280"/>
      <c r="AQ13" s="279" t="s">
        <v>452</v>
      </c>
      <c r="AR13" s="280"/>
      <c r="AS13" s="280"/>
      <c r="AT13" s="280"/>
    </row>
    <row r="14" spans="2:46" ht="13.5" thickBot="1">
      <c r="B14" s="28"/>
      <c r="C14" s="29"/>
      <c r="D14" s="29"/>
      <c r="E14" s="29"/>
      <c r="F14" s="29"/>
      <c r="G14" s="29"/>
      <c r="H14" s="29"/>
      <c r="I14" s="29"/>
      <c r="J14" s="29"/>
      <c r="K14" s="29"/>
      <c r="L14" s="29"/>
      <c r="M14" s="29"/>
      <c r="N14" s="29"/>
      <c r="O14" s="29"/>
      <c r="P14" s="29"/>
      <c r="Q14" s="29"/>
      <c r="R14" s="29"/>
      <c r="S14" s="29"/>
      <c r="T14" s="29"/>
      <c r="U14" s="29"/>
      <c r="V14" s="29"/>
      <c r="W14" s="254"/>
      <c r="X14" s="19" t="s">
        <v>56</v>
      </c>
      <c r="Y14" s="19"/>
      <c r="Z14" s="19"/>
      <c r="AA14" s="19"/>
      <c r="AB14" s="19"/>
      <c r="AC14" s="343" t="str">
        <f>Calc_OUT_KPI_BEYears</f>
        <v>--</v>
      </c>
      <c r="AD14" s="344"/>
      <c r="AE14" s="344"/>
      <c r="AF14" s="344"/>
      <c r="AG14" s="344"/>
      <c r="AH14" s="344"/>
      <c r="AI14" s="345"/>
      <c r="AJ14" s="256"/>
      <c r="AK14" s="30"/>
      <c r="AM14" s="68" t="s">
        <v>446</v>
      </c>
      <c r="AN14" s="68" t="s">
        <v>447</v>
      </c>
      <c r="AO14" s="281"/>
      <c r="AQ14" s="282" t="s">
        <v>453</v>
      </c>
      <c r="AR14" s="283" t="s">
        <v>438</v>
      </c>
      <c r="AS14" s="284" t="s">
        <v>439</v>
      </c>
      <c r="AT14" s="284" t="s">
        <v>455</v>
      </c>
    </row>
    <row r="15" spans="2:46" ht="13.5" thickBot="1">
      <c r="B15" s="28"/>
      <c r="C15" s="250" t="s">
        <v>49</v>
      </c>
      <c r="D15" s="29"/>
      <c r="E15" s="29"/>
      <c r="F15" s="29"/>
      <c r="G15" s="29"/>
      <c r="H15" s="29"/>
      <c r="I15" s="29"/>
      <c r="J15" s="29"/>
      <c r="K15" s="29"/>
      <c r="L15" s="29"/>
      <c r="M15" s="29"/>
      <c r="N15" s="29"/>
      <c r="O15" s="29"/>
      <c r="P15" s="29"/>
      <c r="Q15" s="29"/>
      <c r="R15" s="29"/>
      <c r="S15" s="29"/>
      <c r="T15" s="29"/>
      <c r="U15" s="29"/>
      <c r="V15" s="29"/>
      <c r="W15" s="258"/>
      <c r="X15" s="259"/>
      <c r="Y15" s="259"/>
      <c r="Z15" s="259"/>
      <c r="AA15" s="259"/>
      <c r="AB15" s="259"/>
      <c r="AC15" s="259"/>
      <c r="AD15" s="259"/>
      <c r="AE15" s="259"/>
      <c r="AF15" s="259"/>
      <c r="AG15" s="259"/>
      <c r="AH15" s="259"/>
      <c r="AI15" s="259"/>
      <c r="AJ15" s="260"/>
      <c r="AK15" s="30"/>
      <c r="AM15" s="277" t="s">
        <v>12</v>
      </c>
      <c r="AN15" s="290" t="str">
        <f ca="1">OFFSET(AQ15,0,MATCH(DataSourceSelector_BEF,DataSource_BEF,0)-1)</f>
        <v>Price</v>
      </c>
      <c r="AO15" s="281"/>
      <c r="AQ15" s="277" t="s">
        <v>37</v>
      </c>
      <c r="AR15" s="277" t="s">
        <v>15</v>
      </c>
      <c r="AS15" s="277" t="s">
        <v>15</v>
      </c>
      <c r="AT15" s="277" t="s">
        <v>0</v>
      </c>
    </row>
    <row r="16" spans="2:46" ht="12.75">
      <c r="B16" s="28"/>
      <c r="C16" s="251"/>
      <c r="D16" s="252"/>
      <c r="E16" s="252"/>
      <c r="F16" s="252"/>
      <c r="G16" s="252"/>
      <c r="H16" s="252"/>
      <c r="I16" s="252"/>
      <c r="J16" s="252"/>
      <c r="K16" s="252"/>
      <c r="L16" s="252"/>
      <c r="M16" s="252"/>
      <c r="N16" s="252"/>
      <c r="O16" s="252"/>
      <c r="P16" s="252"/>
      <c r="Q16" s="252"/>
      <c r="R16" s="252"/>
      <c r="S16" s="252"/>
      <c r="T16" s="252"/>
      <c r="U16" s="253"/>
      <c r="V16" s="29"/>
      <c r="W16" s="29"/>
      <c r="X16" s="29"/>
      <c r="Y16" s="29"/>
      <c r="Z16" s="29"/>
      <c r="AA16" s="29"/>
      <c r="AB16" s="29"/>
      <c r="AC16" s="29"/>
      <c r="AD16" s="29"/>
      <c r="AE16" s="29"/>
      <c r="AF16" s="29"/>
      <c r="AG16" s="29"/>
      <c r="AH16" s="29"/>
      <c r="AI16" s="29"/>
      <c r="AJ16" s="29"/>
      <c r="AK16" s="30"/>
      <c r="AM16" s="277" t="s">
        <v>13</v>
      </c>
      <c r="AN16" s="290" t="str">
        <f ca="1">OFFSET(AQ16,0,MATCH(DataSourceSelector_BEF,DataSource_BEF,0)-1)</f>
        <v>Variable Cost</v>
      </c>
      <c r="AO16" s="281"/>
      <c r="AQ16" s="277" t="s">
        <v>43</v>
      </c>
      <c r="AR16" s="277" t="s">
        <v>0</v>
      </c>
      <c r="AS16" s="277" t="s">
        <v>0</v>
      </c>
      <c r="AT16" s="277" t="s">
        <v>19</v>
      </c>
    </row>
    <row r="17" spans="2:46" ht="13.5" thickBot="1">
      <c r="B17" s="28"/>
      <c r="C17" s="254"/>
      <c r="D17" s="255" t="s">
        <v>63</v>
      </c>
      <c r="E17" s="255"/>
      <c r="F17" s="255"/>
      <c r="G17" s="255"/>
      <c r="H17" s="255"/>
      <c r="I17" s="24"/>
      <c r="J17" s="346" t="s">
        <v>438</v>
      </c>
      <c r="K17" s="347"/>
      <c r="L17" s="347"/>
      <c r="M17" s="347"/>
      <c r="N17" s="347"/>
      <c r="O17" s="347"/>
      <c r="P17" s="347"/>
      <c r="Q17" s="347"/>
      <c r="R17" s="347"/>
      <c r="S17" s="347"/>
      <c r="T17" s="348"/>
      <c r="U17" s="256"/>
      <c r="V17" s="29"/>
      <c r="W17" s="250" t="s">
        <v>441</v>
      </c>
      <c r="X17" s="250"/>
      <c r="Y17" s="250"/>
      <c r="Z17" s="250"/>
      <c r="AA17" s="250"/>
      <c r="AB17" s="29"/>
      <c r="AC17" s="29"/>
      <c r="AD17" s="29"/>
      <c r="AE17" s="29"/>
      <c r="AF17" s="29"/>
      <c r="AG17" s="29"/>
      <c r="AH17" s="29"/>
      <c r="AI17" s="29"/>
      <c r="AJ17" s="29"/>
      <c r="AK17" s="30"/>
      <c r="AM17" s="277" t="s">
        <v>14</v>
      </c>
      <c r="AN17" s="290" t="str">
        <f ca="1">OFFSET(AQ17,0,MATCH(DataSourceSelector_BEF,DataSource_BEF,0)-1)</f>
        <v>Fixed Cost</v>
      </c>
      <c r="AO17" s="281"/>
      <c r="AQ17" s="277" t="s">
        <v>17</v>
      </c>
      <c r="AR17" s="277" t="s">
        <v>43</v>
      </c>
      <c r="AS17" s="277" t="s">
        <v>17</v>
      </c>
      <c r="AT17" s="277" t="s">
        <v>43</v>
      </c>
    </row>
    <row r="18" spans="2:37" ht="13.5" thickBot="1">
      <c r="B18" s="28"/>
      <c r="C18" s="258"/>
      <c r="D18" s="259"/>
      <c r="E18" s="259"/>
      <c r="F18" s="259"/>
      <c r="G18" s="259"/>
      <c r="H18" s="259"/>
      <c r="I18" s="259"/>
      <c r="J18" s="259"/>
      <c r="K18" s="259"/>
      <c r="L18" s="259"/>
      <c r="M18" s="259"/>
      <c r="N18" s="259"/>
      <c r="O18" s="259"/>
      <c r="P18" s="259"/>
      <c r="Q18" s="259"/>
      <c r="R18" s="259"/>
      <c r="S18" s="259"/>
      <c r="T18" s="259"/>
      <c r="U18" s="260"/>
      <c r="V18" s="29"/>
      <c r="W18" s="251"/>
      <c r="X18" s="252"/>
      <c r="Y18" s="252"/>
      <c r="Z18" s="252"/>
      <c r="AA18" s="252"/>
      <c r="AB18" s="252"/>
      <c r="AC18" s="252"/>
      <c r="AD18" s="252"/>
      <c r="AE18" s="252"/>
      <c r="AF18" s="252"/>
      <c r="AG18" s="252"/>
      <c r="AH18" s="252"/>
      <c r="AI18" s="252"/>
      <c r="AJ18" s="253"/>
      <c r="AK18" s="30"/>
    </row>
    <row r="19" spans="2:46" ht="12.75">
      <c r="B19" s="28"/>
      <c r="C19" s="29"/>
      <c r="D19" s="29"/>
      <c r="E19" s="29"/>
      <c r="F19" s="29"/>
      <c r="G19" s="29"/>
      <c r="H19" s="29"/>
      <c r="I19" s="29"/>
      <c r="J19" s="29"/>
      <c r="K19" s="29"/>
      <c r="L19" s="29"/>
      <c r="M19" s="29"/>
      <c r="N19" s="29"/>
      <c r="O19" s="29"/>
      <c r="P19" s="29"/>
      <c r="Q19" s="29"/>
      <c r="R19" s="29"/>
      <c r="S19" s="29"/>
      <c r="T19" s="29"/>
      <c r="U19" s="29"/>
      <c r="V19" s="29"/>
      <c r="W19" s="254"/>
      <c r="X19" s="19"/>
      <c r="Y19" s="19"/>
      <c r="Z19" s="19"/>
      <c r="AA19" s="19"/>
      <c r="AB19" s="19"/>
      <c r="AC19" s="19"/>
      <c r="AD19" s="19"/>
      <c r="AE19" s="19"/>
      <c r="AF19" s="19"/>
      <c r="AG19" s="19"/>
      <c r="AH19" s="19"/>
      <c r="AI19" s="19"/>
      <c r="AJ19" s="256"/>
      <c r="AK19" s="30"/>
      <c r="AM19" s="279" t="s">
        <v>451</v>
      </c>
      <c r="AN19" s="280"/>
      <c r="AO19" s="280"/>
      <c r="AQ19" s="279" t="s">
        <v>452</v>
      </c>
      <c r="AR19" s="280"/>
      <c r="AS19" s="280"/>
      <c r="AT19" s="280"/>
    </row>
    <row r="20" spans="2:46" ht="13.5" thickBot="1">
      <c r="B20" s="28"/>
      <c r="C20" s="250" t="s">
        <v>442</v>
      </c>
      <c r="D20" s="29"/>
      <c r="E20" s="29"/>
      <c r="F20" s="29"/>
      <c r="G20" s="29"/>
      <c r="H20" s="29"/>
      <c r="I20" s="29"/>
      <c r="J20" s="29"/>
      <c r="K20" s="29"/>
      <c r="L20" s="29"/>
      <c r="M20" s="29"/>
      <c r="N20" s="29"/>
      <c r="O20" s="29"/>
      <c r="P20" s="29"/>
      <c r="Q20" s="29"/>
      <c r="R20" s="29"/>
      <c r="S20" s="29"/>
      <c r="T20" s="29"/>
      <c r="U20" s="8"/>
      <c r="V20" s="29"/>
      <c r="W20" s="254"/>
      <c r="X20" s="19"/>
      <c r="Y20" s="19"/>
      <c r="Z20" s="19"/>
      <c r="AA20" s="19"/>
      <c r="AB20" s="19"/>
      <c r="AC20" s="19"/>
      <c r="AD20" s="19"/>
      <c r="AE20" s="19"/>
      <c r="AF20" s="19"/>
      <c r="AG20" s="19"/>
      <c r="AH20" s="19"/>
      <c r="AI20" s="19"/>
      <c r="AJ20" s="256"/>
      <c r="AK20" s="30"/>
      <c r="AM20" s="68" t="s">
        <v>446</v>
      </c>
      <c r="AN20" s="68" t="s">
        <v>447</v>
      </c>
      <c r="AO20" s="68" t="s">
        <v>214</v>
      </c>
      <c r="AQ20" s="282" t="s">
        <v>453</v>
      </c>
      <c r="AR20" s="283" t="s">
        <v>438</v>
      </c>
      <c r="AS20" s="284" t="s">
        <v>440</v>
      </c>
      <c r="AT20" s="284" t="s">
        <v>454</v>
      </c>
    </row>
    <row r="21" spans="2:46" ht="12.75">
      <c r="B21" s="28"/>
      <c r="C21" s="261" t="s">
        <v>58</v>
      </c>
      <c r="D21" s="262"/>
      <c r="E21" s="262"/>
      <c r="F21" s="262"/>
      <c r="G21" s="262"/>
      <c r="H21" s="262"/>
      <c r="I21" s="262"/>
      <c r="J21" s="263"/>
      <c r="K21" s="263"/>
      <c r="L21" s="263"/>
      <c r="M21" s="263"/>
      <c r="N21" s="263"/>
      <c r="O21" s="263"/>
      <c r="P21" s="263"/>
      <c r="Q21" s="263"/>
      <c r="R21" s="263"/>
      <c r="S21" s="263"/>
      <c r="T21" s="263"/>
      <c r="U21" s="264"/>
      <c r="V21" s="29"/>
      <c r="W21" s="254"/>
      <c r="X21" s="19"/>
      <c r="Y21" s="19"/>
      <c r="Z21" s="19"/>
      <c r="AA21" s="19"/>
      <c r="AB21" s="19"/>
      <c r="AC21" s="19"/>
      <c r="AD21" s="19"/>
      <c r="AE21" s="19"/>
      <c r="AF21" s="19"/>
      <c r="AG21" s="19"/>
      <c r="AH21" s="19"/>
      <c r="AI21" s="19"/>
      <c r="AJ21" s="256"/>
      <c r="AK21" s="30"/>
      <c r="AM21" s="277" t="s">
        <v>3</v>
      </c>
      <c r="AN21" s="66" t="str">
        <f ca="1">OFFSET(AQ21,0,MATCH(DataSourceSelector_CC,DataSource_CC,0)-1)</f>
        <v>Fixed</v>
      </c>
      <c r="AO21" s="290" t="b">
        <f>LOOKUP(AN21,LUV_Test_OptionButton_CC,LUV_Test_OptionButton_CC_Value)</f>
        <v>1</v>
      </c>
      <c r="AQ21" s="277" t="s">
        <v>51</v>
      </c>
      <c r="AR21" s="277" t="s">
        <v>51</v>
      </c>
      <c r="AS21" s="277" t="s">
        <v>51</v>
      </c>
      <c r="AT21" s="277"/>
    </row>
    <row r="22" spans="2:46" ht="12.75" customHeight="1">
      <c r="B22" s="28"/>
      <c r="C22" s="265"/>
      <c r="D22" s="266"/>
      <c r="E22" s="267"/>
      <c r="F22" s="267"/>
      <c r="G22" s="268"/>
      <c r="H22" s="328" t="str">
        <f>Feedback_CFO</f>
        <v>I'd like you to start by deriving the Break Even formula.  Please complete the formula before asking me for feedback again.</v>
      </c>
      <c r="I22" s="328"/>
      <c r="J22" s="328"/>
      <c r="K22" s="328"/>
      <c r="L22" s="328"/>
      <c r="M22" s="328"/>
      <c r="N22" s="328"/>
      <c r="O22" s="328"/>
      <c r="P22" s="328"/>
      <c r="Q22" s="328"/>
      <c r="R22" s="328"/>
      <c r="S22" s="328"/>
      <c r="T22" s="328"/>
      <c r="U22" s="329"/>
      <c r="V22" s="29"/>
      <c r="W22" s="254"/>
      <c r="X22" s="19"/>
      <c r="Y22" s="19"/>
      <c r="Z22" s="19"/>
      <c r="AA22" s="19"/>
      <c r="AB22" s="19"/>
      <c r="AC22" s="19"/>
      <c r="AD22" s="19"/>
      <c r="AE22" s="19"/>
      <c r="AF22" s="19"/>
      <c r="AG22" s="19"/>
      <c r="AH22" s="19"/>
      <c r="AI22" s="19"/>
      <c r="AJ22" s="256"/>
      <c r="AK22" s="30"/>
      <c r="AM22" s="277" t="s">
        <v>50</v>
      </c>
      <c r="AN22" s="66" t="str">
        <f aca="true" ca="1" t="shared" si="0" ref="AN22:AN27">OFFSET(AQ22,0,MATCH(DataSourceSelector_CC,DataSource_CC,0)-1)</f>
        <v>Fixed</v>
      </c>
      <c r="AO22" s="290" t="b">
        <f aca="true" t="shared" si="1" ref="AO22:AO27">LOOKUP(AN22,LUV_Test_OptionButton_CC,LUV_Test_OptionButton_CC_Value)</f>
        <v>1</v>
      </c>
      <c r="AQ22" s="277" t="s">
        <v>7</v>
      </c>
      <c r="AR22" s="277" t="s">
        <v>51</v>
      </c>
      <c r="AS22" s="277" t="s">
        <v>7</v>
      </c>
      <c r="AT22" s="277"/>
    </row>
    <row r="23" spans="2:46" ht="12.75">
      <c r="B23" s="28"/>
      <c r="C23" s="265"/>
      <c r="D23" s="269"/>
      <c r="E23" s="29"/>
      <c r="F23" s="29"/>
      <c r="G23" s="270"/>
      <c r="H23" s="330"/>
      <c r="I23" s="330"/>
      <c r="J23" s="330"/>
      <c r="K23" s="330"/>
      <c r="L23" s="330"/>
      <c r="M23" s="330"/>
      <c r="N23" s="330"/>
      <c r="O23" s="330"/>
      <c r="P23" s="330"/>
      <c r="Q23" s="330"/>
      <c r="R23" s="330"/>
      <c r="S23" s="330"/>
      <c r="T23" s="330"/>
      <c r="U23" s="331"/>
      <c r="V23" s="29"/>
      <c r="W23" s="254"/>
      <c r="X23" s="19"/>
      <c r="Y23" s="19"/>
      <c r="Z23" s="19"/>
      <c r="AA23" s="19"/>
      <c r="AB23" s="19"/>
      <c r="AC23" s="19"/>
      <c r="AD23" s="19"/>
      <c r="AE23" s="19"/>
      <c r="AF23" s="19"/>
      <c r="AG23" s="19"/>
      <c r="AH23" s="19"/>
      <c r="AI23" s="19"/>
      <c r="AJ23" s="256"/>
      <c r="AK23" s="30"/>
      <c r="AM23" s="277" t="s">
        <v>1</v>
      </c>
      <c r="AN23" s="66" t="str">
        <f ca="1" t="shared" si="0"/>
        <v>Variable</v>
      </c>
      <c r="AO23" s="290" t="b">
        <f t="shared" si="1"/>
        <v>0</v>
      </c>
      <c r="AQ23" s="277" t="s">
        <v>7</v>
      </c>
      <c r="AR23" s="277" t="s">
        <v>7</v>
      </c>
      <c r="AS23" s="277" t="s">
        <v>51</v>
      </c>
      <c r="AT23" s="277"/>
    </row>
    <row r="24" spans="2:46" ht="12.75">
      <c r="B24" s="28"/>
      <c r="C24" s="265"/>
      <c r="D24" s="269"/>
      <c r="E24" s="29"/>
      <c r="F24" s="29"/>
      <c r="G24" s="270"/>
      <c r="H24" s="330"/>
      <c r="I24" s="330"/>
      <c r="J24" s="330"/>
      <c r="K24" s="330"/>
      <c r="L24" s="330"/>
      <c r="M24" s="330"/>
      <c r="N24" s="330"/>
      <c r="O24" s="330"/>
      <c r="P24" s="330"/>
      <c r="Q24" s="330"/>
      <c r="R24" s="330"/>
      <c r="S24" s="330"/>
      <c r="T24" s="330"/>
      <c r="U24" s="331"/>
      <c r="V24" s="29"/>
      <c r="W24" s="254"/>
      <c r="X24" s="19"/>
      <c r="Y24" s="19"/>
      <c r="Z24" s="19"/>
      <c r="AA24" s="19"/>
      <c r="AB24" s="19"/>
      <c r="AC24" s="19"/>
      <c r="AD24" s="19"/>
      <c r="AE24" s="19"/>
      <c r="AF24" s="19"/>
      <c r="AG24" s="19"/>
      <c r="AH24" s="19"/>
      <c r="AI24" s="19"/>
      <c r="AJ24" s="256"/>
      <c r="AK24" s="30"/>
      <c r="AM24" s="278" t="s">
        <v>2</v>
      </c>
      <c r="AN24" s="66" t="str">
        <f ca="1" t="shared" si="0"/>
        <v>Variable</v>
      </c>
      <c r="AO24" s="290" t="b">
        <f t="shared" si="1"/>
        <v>0</v>
      </c>
      <c r="AQ24" s="277" t="s">
        <v>7</v>
      </c>
      <c r="AR24" s="277" t="s">
        <v>7</v>
      </c>
      <c r="AS24" s="277" t="s">
        <v>51</v>
      </c>
      <c r="AT24" s="277"/>
    </row>
    <row r="25" spans="2:46" ht="12.75">
      <c r="B25" s="28"/>
      <c r="C25" s="265"/>
      <c r="D25" s="269"/>
      <c r="E25" s="29"/>
      <c r="F25" s="29"/>
      <c r="G25" s="270"/>
      <c r="H25" s="330"/>
      <c r="I25" s="330"/>
      <c r="J25" s="330"/>
      <c r="K25" s="330"/>
      <c r="L25" s="330"/>
      <c r="M25" s="330"/>
      <c r="N25" s="330"/>
      <c r="O25" s="330"/>
      <c r="P25" s="330"/>
      <c r="Q25" s="330"/>
      <c r="R25" s="330"/>
      <c r="S25" s="330"/>
      <c r="T25" s="330"/>
      <c r="U25" s="331"/>
      <c r="V25" s="29"/>
      <c r="W25" s="254"/>
      <c r="X25" s="19"/>
      <c r="Y25" s="19"/>
      <c r="Z25" s="19"/>
      <c r="AA25" s="19"/>
      <c r="AB25" s="19"/>
      <c r="AC25" s="19"/>
      <c r="AD25" s="19"/>
      <c r="AE25" s="19"/>
      <c r="AF25" s="19"/>
      <c r="AG25" s="19"/>
      <c r="AH25" s="19"/>
      <c r="AI25" s="19"/>
      <c r="AJ25" s="256"/>
      <c r="AK25" s="30"/>
      <c r="AM25" s="278" t="s">
        <v>4</v>
      </c>
      <c r="AN25" s="66" t="str">
        <f ca="1" t="shared" si="0"/>
        <v>Fixed</v>
      </c>
      <c r="AO25" s="290" t="b">
        <f t="shared" si="1"/>
        <v>1</v>
      </c>
      <c r="AQ25" s="277" t="s">
        <v>7</v>
      </c>
      <c r="AR25" s="277" t="s">
        <v>51</v>
      </c>
      <c r="AS25" s="277" t="s">
        <v>7</v>
      </c>
      <c r="AT25" s="277"/>
    </row>
    <row r="26" spans="2:46" ht="12.75">
      <c r="B26" s="28"/>
      <c r="C26" s="265"/>
      <c r="D26" s="269"/>
      <c r="E26" s="29"/>
      <c r="F26" s="29"/>
      <c r="G26" s="270"/>
      <c r="H26" s="330"/>
      <c r="I26" s="330"/>
      <c r="J26" s="330"/>
      <c r="K26" s="330"/>
      <c r="L26" s="330"/>
      <c r="M26" s="330"/>
      <c r="N26" s="330"/>
      <c r="O26" s="330"/>
      <c r="P26" s="330"/>
      <c r="Q26" s="330"/>
      <c r="R26" s="330"/>
      <c r="S26" s="330"/>
      <c r="T26" s="330"/>
      <c r="U26" s="331"/>
      <c r="V26" s="29"/>
      <c r="W26" s="254"/>
      <c r="X26" s="19"/>
      <c r="Y26" s="19"/>
      <c r="Z26" s="19"/>
      <c r="AA26" s="19"/>
      <c r="AB26" s="19"/>
      <c r="AC26" s="19"/>
      <c r="AD26" s="19"/>
      <c r="AE26" s="19"/>
      <c r="AF26" s="19"/>
      <c r="AG26" s="19"/>
      <c r="AH26" s="19"/>
      <c r="AI26" s="19"/>
      <c r="AJ26" s="256"/>
      <c r="AK26" s="30"/>
      <c r="AM26" s="278" t="s">
        <v>5</v>
      </c>
      <c r="AN26" s="66" t="str">
        <f ca="1" t="shared" si="0"/>
        <v>Fixed</v>
      </c>
      <c r="AO26" s="290" t="b">
        <f t="shared" si="1"/>
        <v>1</v>
      </c>
      <c r="AQ26" s="277" t="s">
        <v>7</v>
      </c>
      <c r="AR26" s="277" t="s">
        <v>51</v>
      </c>
      <c r="AS26" s="277" t="s">
        <v>7</v>
      </c>
      <c r="AT26" s="277"/>
    </row>
    <row r="27" spans="2:46" ht="13.5" thickBot="1">
      <c r="B27" s="28"/>
      <c r="C27" s="271"/>
      <c r="D27" s="272"/>
      <c r="E27" s="32"/>
      <c r="F27" s="32"/>
      <c r="G27" s="273"/>
      <c r="H27" s="332"/>
      <c r="I27" s="332"/>
      <c r="J27" s="332"/>
      <c r="K27" s="332"/>
      <c r="L27" s="332"/>
      <c r="M27" s="332"/>
      <c r="N27" s="332"/>
      <c r="O27" s="332"/>
      <c r="P27" s="332"/>
      <c r="Q27" s="332"/>
      <c r="R27" s="332"/>
      <c r="S27" s="332"/>
      <c r="T27" s="332"/>
      <c r="U27" s="333"/>
      <c r="V27" s="29"/>
      <c r="W27" s="254"/>
      <c r="X27" s="19"/>
      <c r="Y27" s="19"/>
      <c r="Z27" s="19"/>
      <c r="AA27" s="19"/>
      <c r="AB27" s="19"/>
      <c r="AC27" s="19"/>
      <c r="AD27" s="19"/>
      <c r="AE27" s="19"/>
      <c r="AF27" s="19"/>
      <c r="AG27" s="19"/>
      <c r="AH27" s="19"/>
      <c r="AI27" s="19"/>
      <c r="AJ27" s="256"/>
      <c r="AK27" s="30"/>
      <c r="AM27" s="278" t="s">
        <v>6</v>
      </c>
      <c r="AN27" s="66" t="str">
        <f ca="1" t="shared" si="0"/>
        <v>Variable</v>
      </c>
      <c r="AO27" s="290" t="b">
        <f t="shared" si="1"/>
        <v>0</v>
      </c>
      <c r="AQ27" s="277" t="s">
        <v>51</v>
      </c>
      <c r="AR27" s="277" t="s">
        <v>7</v>
      </c>
      <c r="AS27" s="277" t="s">
        <v>7</v>
      </c>
      <c r="AT27" s="277"/>
    </row>
    <row r="28" spans="2:37" ht="13.5" thickBot="1">
      <c r="B28" s="28"/>
      <c r="C28" s="29"/>
      <c r="D28" s="29"/>
      <c r="E28" s="29"/>
      <c r="F28" s="29"/>
      <c r="G28" s="29"/>
      <c r="H28" s="29"/>
      <c r="I28" s="29"/>
      <c r="J28" s="29"/>
      <c r="K28" s="29"/>
      <c r="L28" s="29"/>
      <c r="M28" s="29"/>
      <c r="N28" s="29"/>
      <c r="O28" s="29"/>
      <c r="P28" s="29"/>
      <c r="Q28" s="29"/>
      <c r="R28" s="29"/>
      <c r="S28" s="29"/>
      <c r="T28" s="29"/>
      <c r="U28" s="29"/>
      <c r="V28" s="29"/>
      <c r="W28" s="254"/>
      <c r="X28" s="19"/>
      <c r="Y28" s="19"/>
      <c r="Z28" s="19"/>
      <c r="AA28" s="19"/>
      <c r="AB28" s="19"/>
      <c r="AC28" s="19"/>
      <c r="AD28" s="19"/>
      <c r="AE28" s="19"/>
      <c r="AF28" s="19"/>
      <c r="AG28" s="19"/>
      <c r="AH28" s="19"/>
      <c r="AI28" s="19"/>
      <c r="AJ28" s="256"/>
      <c r="AK28" s="30"/>
    </row>
    <row r="29" spans="2:37" ht="12.75">
      <c r="B29" s="28"/>
      <c r="C29" s="261" t="s">
        <v>22</v>
      </c>
      <c r="D29" s="262"/>
      <c r="E29" s="262"/>
      <c r="F29" s="262"/>
      <c r="G29" s="262"/>
      <c r="H29" s="263"/>
      <c r="I29" s="263"/>
      <c r="J29" s="263"/>
      <c r="K29" s="263"/>
      <c r="L29" s="263"/>
      <c r="M29" s="263"/>
      <c r="N29" s="263"/>
      <c r="O29" s="263"/>
      <c r="P29" s="263"/>
      <c r="Q29" s="263"/>
      <c r="R29" s="263"/>
      <c r="S29" s="263"/>
      <c r="T29" s="263"/>
      <c r="U29" s="264"/>
      <c r="V29" s="29"/>
      <c r="W29" s="254"/>
      <c r="X29" s="19"/>
      <c r="Y29" s="19"/>
      <c r="Z29" s="19"/>
      <c r="AA29" s="19"/>
      <c r="AB29" s="19"/>
      <c r="AC29" s="19"/>
      <c r="AD29" s="19"/>
      <c r="AE29" s="19"/>
      <c r="AF29" s="19"/>
      <c r="AG29" s="19"/>
      <c r="AH29" s="19"/>
      <c r="AI29" s="19"/>
      <c r="AJ29" s="256"/>
      <c r="AK29" s="30"/>
    </row>
    <row r="30" spans="2:37" ht="12.75" customHeight="1">
      <c r="B30" s="28"/>
      <c r="C30" s="265"/>
      <c r="D30" s="266"/>
      <c r="E30" s="267"/>
      <c r="F30" s="267"/>
      <c r="G30" s="268"/>
      <c r="H30" s="334" t="str">
        <f>Feedback_MKT</f>
        <v>I can't give you any feedback right now because you haven't made any marketing decisions.  Please determine how much you want to spend on advertising and how much you want to sell the mower for, then come back to me for feedback.</v>
      </c>
      <c r="I30" s="328"/>
      <c r="J30" s="328"/>
      <c r="K30" s="328"/>
      <c r="L30" s="328"/>
      <c r="M30" s="328"/>
      <c r="N30" s="328"/>
      <c r="O30" s="328"/>
      <c r="P30" s="328"/>
      <c r="Q30" s="328"/>
      <c r="R30" s="328"/>
      <c r="S30" s="328"/>
      <c r="T30" s="328"/>
      <c r="U30" s="329"/>
      <c r="V30" s="29"/>
      <c r="W30" s="254"/>
      <c r="X30" s="19"/>
      <c r="Y30" s="19"/>
      <c r="Z30" s="19"/>
      <c r="AA30" s="19"/>
      <c r="AB30" s="19"/>
      <c r="AC30" s="19"/>
      <c r="AD30" s="19"/>
      <c r="AE30" s="19"/>
      <c r="AF30" s="19"/>
      <c r="AG30" s="19"/>
      <c r="AH30" s="19"/>
      <c r="AI30" s="19"/>
      <c r="AJ30" s="256"/>
      <c r="AK30" s="30"/>
    </row>
    <row r="31" spans="2:37" ht="12.75">
      <c r="B31" s="28"/>
      <c r="C31" s="265"/>
      <c r="D31" s="269"/>
      <c r="E31" s="29"/>
      <c r="F31" s="29"/>
      <c r="G31" s="270"/>
      <c r="H31" s="335"/>
      <c r="I31" s="330"/>
      <c r="J31" s="330"/>
      <c r="K31" s="330"/>
      <c r="L31" s="330"/>
      <c r="M31" s="330"/>
      <c r="N31" s="330"/>
      <c r="O31" s="330"/>
      <c r="P31" s="330"/>
      <c r="Q31" s="330"/>
      <c r="R31" s="330"/>
      <c r="S31" s="330"/>
      <c r="T31" s="330"/>
      <c r="U31" s="331"/>
      <c r="V31" s="29"/>
      <c r="W31" s="254"/>
      <c r="X31" s="19"/>
      <c r="Y31" s="19"/>
      <c r="Z31" s="19"/>
      <c r="AA31" s="19"/>
      <c r="AB31" s="19"/>
      <c r="AC31" s="19"/>
      <c r="AD31" s="19"/>
      <c r="AE31" s="19"/>
      <c r="AF31" s="19"/>
      <c r="AG31" s="19"/>
      <c r="AH31" s="19"/>
      <c r="AI31" s="19"/>
      <c r="AJ31" s="256"/>
      <c r="AK31" s="30"/>
    </row>
    <row r="32" spans="2:37" ht="12.75">
      <c r="B32" s="28"/>
      <c r="C32" s="265"/>
      <c r="D32" s="269"/>
      <c r="E32" s="29"/>
      <c r="F32" s="29"/>
      <c r="G32" s="270"/>
      <c r="H32" s="335"/>
      <c r="I32" s="330"/>
      <c r="J32" s="330"/>
      <c r="K32" s="330"/>
      <c r="L32" s="330"/>
      <c r="M32" s="330"/>
      <c r="N32" s="330"/>
      <c r="O32" s="330"/>
      <c r="P32" s="330"/>
      <c r="Q32" s="330"/>
      <c r="R32" s="330"/>
      <c r="S32" s="330"/>
      <c r="T32" s="330"/>
      <c r="U32" s="331"/>
      <c r="V32" s="29"/>
      <c r="W32" s="254"/>
      <c r="X32" s="19"/>
      <c r="Y32" s="19"/>
      <c r="Z32" s="19"/>
      <c r="AA32" s="19"/>
      <c r="AB32" s="19"/>
      <c r="AC32" s="19"/>
      <c r="AD32" s="19"/>
      <c r="AE32" s="19"/>
      <c r="AF32" s="19"/>
      <c r="AG32" s="19"/>
      <c r="AH32" s="19"/>
      <c r="AI32" s="19"/>
      <c r="AJ32" s="256"/>
      <c r="AK32" s="30"/>
    </row>
    <row r="33" spans="2:37" ht="12.75">
      <c r="B33" s="28"/>
      <c r="C33" s="265"/>
      <c r="D33" s="269"/>
      <c r="E33" s="29"/>
      <c r="F33" s="29"/>
      <c r="G33" s="270"/>
      <c r="H33" s="335"/>
      <c r="I33" s="330"/>
      <c r="J33" s="330"/>
      <c r="K33" s="330"/>
      <c r="L33" s="330"/>
      <c r="M33" s="330"/>
      <c r="N33" s="330"/>
      <c r="O33" s="330"/>
      <c r="P33" s="330"/>
      <c r="Q33" s="330"/>
      <c r="R33" s="330"/>
      <c r="S33" s="330"/>
      <c r="T33" s="330"/>
      <c r="U33" s="331"/>
      <c r="V33" s="29"/>
      <c r="W33" s="254"/>
      <c r="X33" s="19"/>
      <c r="Y33" s="19"/>
      <c r="Z33" s="19"/>
      <c r="AA33" s="19"/>
      <c r="AB33" s="19"/>
      <c r="AC33" s="19"/>
      <c r="AD33" s="19"/>
      <c r="AE33" s="19"/>
      <c r="AF33" s="19"/>
      <c r="AG33" s="19"/>
      <c r="AH33" s="19"/>
      <c r="AI33" s="19"/>
      <c r="AJ33" s="256"/>
      <c r="AK33" s="30"/>
    </row>
    <row r="34" spans="2:37" ht="12.75">
      <c r="B34" s="28"/>
      <c r="C34" s="265"/>
      <c r="D34" s="269"/>
      <c r="E34" s="29"/>
      <c r="F34" s="29"/>
      <c r="G34" s="270"/>
      <c r="H34" s="335"/>
      <c r="I34" s="330"/>
      <c r="J34" s="330"/>
      <c r="K34" s="330"/>
      <c r="L34" s="330"/>
      <c r="M34" s="330"/>
      <c r="N34" s="330"/>
      <c r="O34" s="330"/>
      <c r="P34" s="330"/>
      <c r="Q34" s="330"/>
      <c r="R34" s="330"/>
      <c r="S34" s="330"/>
      <c r="T34" s="330"/>
      <c r="U34" s="331"/>
      <c r="V34" s="29"/>
      <c r="W34" s="254"/>
      <c r="X34" s="19"/>
      <c r="Y34" s="19"/>
      <c r="Z34" s="19"/>
      <c r="AA34" s="19"/>
      <c r="AB34" s="19"/>
      <c r="AC34" s="19"/>
      <c r="AD34" s="19"/>
      <c r="AE34" s="19"/>
      <c r="AF34" s="19"/>
      <c r="AG34" s="19"/>
      <c r="AH34" s="19"/>
      <c r="AI34" s="19"/>
      <c r="AJ34" s="256"/>
      <c r="AK34" s="30"/>
    </row>
    <row r="35" spans="2:37" ht="13.5" thickBot="1">
      <c r="B35" s="28"/>
      <c r="C35" s="271"/>
      <c r="D35" s="272"/>
      <c r="E35" s="32"/>
      <c r="F35" s="32"/>
      <c r="G35" s="273"/>
      <c r="H35" s="336"/>
      <c r="I35" s="332"/>
      <c r="J35" s="332"/>
      <c r="K35" s="332"/>
      <c r="L35" s="332"/>
      <c r="M35" s="332"/>
      <c r="N35" s="332"/>
      <c r="O35" s="332"/>
      <c r="P35" s="332"/>
      <c r="Q35" s="332"/>
      <c r="R35" s="332"/>
      <c r="S35" s="332"/>
      <c r="T35" s="332"/>
      <c r="U35" s="333"/>
      <c r="V35" s="29"/>
      <c r="W35" s="254"/>
      <c r="X35" s="19"/>
      <c r="Y35" s="19"/>
      <c r="Z35" s="19"/>
      <c r="AA35" s="19"/>
      <c r="AB35" s="19"/>
      <c r="AC35" s="19"/>
      <c r="AD35" s="19"/>
      <c r="AE35" s="19"/>
      <c r="AF35" s="19"/>
      <c r="AG35" s="19"/>
      <c r="AH35" s="19"/>
      <c r="AI35" s="19"/>
      <c r="AJ35" s="256"/>
      <c r="AK35" s="30"/>
    </row>
    <row r="36" spans="2:37" ht="13.5" thickBot="1">
      <c r="B36" s="28"/>
      <c r="C36" s="29"/>
      <c r="D36" s="29"/>
      <c r="E36" s="29"/>
      <c r="F36" s="29"/>
      <c r="G36" s="29"/>
      <c r="H36" s="29"/>
      <c r="I36" s="29"/>
      <c r="J36" s="29"/>
      <c r="K36" s="29"/>
      <c r="L36" s="29"/>
      <c r="M36" s="29"/>
      <c r="N36" s="29"/>
      <c r="O36" s="29"/>
      <c r="P36" s="29"/>
      <c r="Q36" s="29"/>
      <c r="R36" s="29"/>
      <c r="S36" s="29"/>
      <c r="T36" s="29"/>
      <c r="U36" s="29"/>
      <c r="V36" s="29"/>
      <c r="W36" s="258"/>
      <c r="X36" s="259"/>
      <c r="Y36" s="259"/>
      <c r="Z36" s="259"/>
      <c r="AA36" s="259"/>
      <c r="AB36" s="259"/>
      <c r="AC36" s="259"/>
      <c r="AD36" s="259"/>
      <c r="AE36" s="259"/>
      <c r="AF36" s="259"/>
      <c r="AG36" s="259"/>
      <c r="AH36" s="259"/>
      <c r="AI36" s="259"/>
      <c r="AJ36" s="260"/>
      <c r="AK36" s="30"/>
    </row>
    <row r="37" spans="2:37" ht="12.75">
      <c r="B37" s="28"/>
      <c r="C37" s="261" t="s">
        <v>59</v>
      </c>
      <c r="D37" s="262"/>
      <c r="E37" s="262"/>
      <c r="F37" s="262"/>
      <c r="G37" s="262"/>
      <c r="H37" s="263"/>
      <c r="I37" s="263"/>
      <c r="J37" s="263"/>
      <c r="K37" s="263"/>
      <c r="L37" s="263"/>
      <c r="M37" s="263"/>
      <c r="N37" s="263"/>
      <c r="O37" s="263"/>
      <c r="P37" s="263"/>
      <c r="Q37" s="263"/>
      <c r="R37" s="263"/>
      <c r="S37" s="263"/>
      <c r="T37" s="263"/>
      <c r="U37" s="264"/>
      <c r="V37" s="29"/>
      <c r="W37" s="29"/>
      <c r="X37" s="29"/>
      <c r="Y37" s="29"/>
      <c r="Z37" s="29"/>
      <c r="AA37" s="29"/>
      <c r="AB37" s="29"/>
      <c r="AC37" s="29"/>
      <c r="AD37" s="29"/>
      <c r="AE37" s="29"/>
      <c r="AF37" s="29"/>
      <c r="AG37" s="29"/>
      <c r="AH37" s="29"/>
      <c r="AI37" s="29"/>
      <c r="AJ37" s="29"/>
      <c r="AK37" s="30"/>
    </row>
    <row r="38" spans="2:37" ht="12.75" customHeight="1">
      <c r="B38" s="28"/>
      <c r="C38" s="265"/>
      <c r="D38" s="266"/>
      <c r="E38" s="267"/>
      <c r="F38" s="267"/>
      <c r="G38" s="268"/>
      <c r="H38" s="319" t="str">
        <f>Feedback_MFG</f>
        <v>At this time, I can't give you any feedback because I don't know how much our projected demand is going to be.  Please complete the marketing decisions, then come back to me for feedback.</v>
      </c>
      <c r="I38" s="320"/>
      <c r="J38" s="320"/>
      <c r="K38" s="320"/>
      <c r="L38" s="320"/>
      <c r="M38" s="320"/>
      <c r="N38" s="320"/>
      <c r="O38" s="320"/>
      <c r="P38" s="320"/>
      <c r="Q38" s="320"/>
      <c r="R38" s="320"/>
      <c r="S38" s="320"/>
      <c r="T38" s="320"/>
      <c r="U38" s="321"/>
      <c r="V38" s="29"/>
      <c r="W38" s="29"/>
      <c r="X38" s="29"/>
      <c r="Y38" s="29"/>
      <c r="Z38" s="29"/>
      <c r="AA38" s="29"/>
      <c r="AB38" s="29"/>
      <c r="AC38" s="29"/>
      <c r="AD38" s="29"/>
      <c r="AE38" s="29"/>
      <c r="AF38" s="29"/>
      <c r="AG38" s="29"/>
      <c r="AH38" s="29"/>
      <c r="AI38" s="29"/>
      <c r="AJ38" s="29"/>
      <c r="AK38" s="30"/>
    </row>
    <row r="39" spans="2:37" ht="12.75">
      <c r="B39" s="28"/>
      <c r="C39" s="265"/>
      <c r="D39" s="269"/>
      <c r="E39" s="29"/>
      <c r="F39" s="29"/>
      <c r="G39" s="270"/>
      <c r="H39" s="322"/>
      <c r="I39" s="323"/>
      <c r="J39" s="323"/>
      <c r="K39" s="323"/>
      <c r="L39" s="323"/>
      <c r="M39" s="323"/>
      <c r="N39" s="323"/>
      <c r="O39" s="323"/>
      <c r="P39" s="323"/>
      <c r="Q39" s="323"/>
      <c r="R39" s="323"/>
      <c r="S39" s="323"/>
      <c r="T39" s="323"/>
      <c r="U39" s="324"/>
      <c r="V39" s="29"/>
      <c r="W39" s="29"/>
      <c r="X39" s="29"/>
      <c r="Y39" s="29"/>
      <c r="Z39" s="29"/>
      <c r="AA39" s="29"/>
      <c r="AB39" s="29"/>
      <c r="AC39" s="29"/>
      <c r="AD39" s="29"/>
      <c r="AE39" s="29"/>
      <c r="AF39" s="29"/>
      <c r="AG39" s="29"/>
      <c r="AH39" s="29"/>
      <c r="AI39" s="29"/>
      <c r="AJ39" s="29"/>
      <c r="AK39" s="30"/>
    </row>
    <row r="40" spans="2:37" ht="12.75">
      <c r="B40" s="28"/>
      <c r="C40" s="265"/>
      <c r="D40" s="269"/>
      <c r="E40" s="29"/>
      <c r="F40" s="29"/>
      <c r="G40" s="270"/>
      <c r="H40" s="322"/>
      <c r="I40" s="323"/>
      <c r="J40" s="323"/>
      <c r="K40" s="323"/>
      <c r="L40" s="323"/>
      <c r="M40" s="323"/>
      <c r="N40" s="323"/>
      <c r="O40" s="323"/>
      <c r="P40" s="323"/>
      <c r="Q40" s="323"/>
      <c r="R40" s="323"/>
      <c r="S40" s="323"/>
      <c r="T40" s="323"/>
      <c r="U40" s="324"/>
      <c r="V40" s="29"/>
      <c r="W40" s="29"/>
      <c r="X40" s="29"/>
      <c r="Y40" s="29"/>
      <c r="Z40" s="29"/>
      <c r="AA40" s="29"/>
      <c r="AB40" s="243"/>
      <c r="AC40" s="243"/>
      <c r="AD40" s="243"/>
      <c r="AE40" s="29"/>
      <c r="AF40" s="29"/>
      <c r="AG40" s="29"/>
      <c r="AH40" s="29"/>
      <c r="AI40" s="29"/>
      <c r="AJ40" s="29"/>
      <c r="AK40" s="30"/>
    </row>
    <row r="41" spans="2:37" ht="12.75">
      <c r="B41" s="28"/>
      <c r="C41" s="265"/>
      <c r="D41" s="269"/>
      <c r="E41" s="29"/>
      <c r="F41" s="29"/>
      <c r="G41" s="270"/>
      <c r="H41" s="322"/>
      <c r="I41" s="323"/>
      <c r="J41" s="323"/>
      <c r="K41" s="323"/>
      <c r="L41" s="323"/>
      <c r="M41" s="323"/>
      <c r="N41" s="323"/>
      <c r="O41" s="323"/>
      <c r="P41" s="323"/>
      <c r="Q41" s="323"/>
      <c r="R41" s="323"/>
      <c r="S41" s="323"/>
      <c r="T41" s="323"/>
      <c r="U41" s="324"/>
      <c r="V41" s="29"/>
      <c r="W41" s="29"/>
      <c r="X41" s="29"/>
      <c r="Y41" s="29"/>
      <c r="Z41" s="29"/>
      <c r="AA41" s="29"/>
      <c r="AB41" s="29"/>
      <c r="AC41" s="29"/>
      <c r="AD41" s="29"/>
      <c r="AE41" s="29"/>
      <c r="AF41" s="29"/>
      <c r="AG41" s="29"/>
      <c r="AH41" s="29"/>
      <c r="AI41" s="29"/>
      <c r="AJ41" s="29"/>
      <c r="AK41" s="30"/>
    </row>
    <row r="42" spans="2:37" ht="12.75">
      <c r="B42" s="28"/>
      <c r="C42" s="265"/>
      <c r="D42" s="269"/>
      <c r="E42" s="29"/>
      <c r="F42" s="29"/>
      <c r="G42" s="270"/>
      <c r="H42" s="322"/>
      <c r="I42" s="323"/>
      <c r="J42" s="323"/>
      <c r="K42" s="323"/>
      <c r="L42" s="323"/>
      <c r="M42" s="323"/>
      <c r="N42" s="323"/>
      <c r="O42" s="323"/>
      <c r="P42" s="323"/>
      <c r="Q42" s="323"/>
      <c r="R42" s="323"/>
      <c r="S42" s="323"/>
      <c r="T42" s="323"/>
      <c r="U42" s="324"/>
      <c r="V42" s="29"/>
      <c r="W42" s="29"/>
      <c r="X42" s="29"/>
      <c r="Y42" s="29"/>
      <c r="Z42" s="29"/>
      <c r="AA42" s="29"/>
      <c r="AB42" s="29"/>
      <c r="AC42" s="29"/>
      <c r="AD42" s="29"/>
      <c r="AE42" s="29"/>
      <c r="AF42" s="29"/>
      <c r="AG42" s="29"/>
      <c r="AH42" s="29"/>
      <c r="AI42" s="29"/>
      <c r="AJ42" s="29"/>
      <c r="AK42" s="30"/>
    </row>
    <row r="43" spans="2:37" ht="13.5" thickBot="1">
      <c r="B43" s="274"/>
      <c r="C43" s="271"/>
      <c r="D43" s="272"/>
      <c r="E43" s="32"/>
      <c r="F43" s="32"/>
      <c r="G43" s="273"/>
      <c r="H43" s="325"/>
      <c r="I43" s="326"/>
      <c r="J43" s="326"/>
      <c r="K43" s="326"/>
      <c r="L43" s="326"/>
      <c r="M43" s="326"/>
      <c r="N43" s="326"/>
      <c r="O43" s="326"/>
      <c r="P43" s="326"/>
      <c r="Q43" s="326"/>
      <c r="R43" s="326"/>
      <c r="S43" s="326"/>
      <c r="T43" s="326"/>
      <c r="U43" s="327"/>
      <c r="V43" s="29"/>
      <c r="W43" s="29"/>
      <c r="X43" s="29"/>
      <c r="Y43" s="29"/>
      <c r="Z43" s="29"/>
      <c r="AA43" s="29"/>
      <c r="AB43" s="29"/>
      <c r="AC43" s="29"/>
      <c r="AD43" s="29"/>
      <c r="AE43" s="29"/>
      <c r="AF43" s="29"/>
      <c r="AG43" s="29"/>
      <c r="AH43" s="29"/>
      <c r="AI43" s="29"/>
      <c r="AJ43" s="29"/>
      <c r="AK43" s="30"/>
    </row>
    <row r="44" spans="2:37" ht="13.5" thickBot="1">
      <c r="B44" s="31"/>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3"/>
    </row>
    <row r="45" spans="21:31" ht="12.75">
      <c r="U45" s="6"/>
      <c r="V45" s="6"/>
      <c r="W45" s="6"/>
      <c r="X45" s="6"/>
      <c r="Y45" s="6"/>
      <c r="Z45" s="6"/>
      <c r="AA45" s="6"/>
      <c r="AB45" s="275"/>
      <c r="AC45" s="275"/>
      <c r="AD45" s="275"/>
      <c r="AE45" s="6"/>
    </row>
    <row r="48" ht="15" customHeight="1"/>
  </sheetData>
  <mergeCells count="16">
    <mergeCell ref="J17:T17"/>
    <mergeCell ref="B2:U2"/>
    <mergeCell ref="W2:AK2"/>
    <mergeCell ref="J7:T7"/>
    <mergeCell ref="J12:T12"/>
    <mergeCell ref="AC7:AI7"/>
    <mergeCell ref="AM2:AU2"/>
    <mergeCell ref="H38:U43"/>
    <mergeCell ref="H22:U27"/>
    <mergeCell ref="H30:U35"/>
    <mergeCell ref="AC9:AI9"/>
    <mergeCell ref="AC10:AI10"/>
    <mergeCell ref="AC11:AI11"/>
    <mergeCell ref="AC12:AI12"/>
    <mergeCell ref="AC13:AI13"/>
    <mergeCell ref="AC14:AI14"/>
  </mergeCells>
  <dataValidations count="7">
    <dataValidation type="list" allowBlank="1" showInputMessage="1" showErrorMessage="1" sqref="J7:T7">
      <formula1>DataSource_Production</formula1>
    </dataValidation>
    <dataValidation type="list" allowBlank="1" showInputMessage="1" showErrorMessage="1" sqref="J12:T12">
      <formula1>DataSource_BEF</formula1>
    </dataValidation>
    <dataValidation type="list" allowBlank="1" showInputMessage="1" showErrorMessage="1" sqref="J17:T17">
      <formula1>DataSource_CC</formula1>
    </dataValidation>
    <dataValidation type="list" allowBlank="1" showInputMessage="1" showErrorMessage="1" sqref="AQ15:AT17">
      <formula1>LUV_BEF_DropDowns</formula1>
    </dataValidation>
    <dataValidation type="list" allowBlank="1" showInputMessage="1" showErrorMessage="1" sqref="AQ21:AT27">
      <formula1>LUV_OptionButton_CC</formula1>
    </dataValidation>
    <dataValidation type="list" allowBlank="1" showInputMessage="1" showErrorMessage="1" sqref="AQ7 AS7:AU7">
      <formula1>LUV_Plant</formula1>
    </dataValidation>
    <dataValidation type="list" allowBlank="1" showInputMessage="1" showErrorMessage="1" sqref="AR7">
      <formula1>"LUV_Plant"</formula1>
    </dataValidation>
  </dataValidation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sheetPr codeName="Sheet1"/>
  <dimension ref="B2:AR125"/>
  <sheetViews>
    <sheetView zoomScale="75" zoomScaleNormal="75" workbookViewId="0" topLeftCell="A1">
      <selection activeCell="G46" sqref="G46"/>
    </sheetView>
  </sheetViews>
  <sheetFormatPr defaultColWidth="9.140625" defaultRowHeight="15.75" customHeight="1"/>
  <cols>
    <col min="2" max="2" width="1.57421875" style="0" customWidth="1"/>
    <col min="3" max="3" width="23.140625" style="0" customWidth="1"/>
    <col min="4" max="4" width="20.7109375" style="0" bestFit="1" customWidth="1"/>
    <col min="5" max="5" width="21.8515625" style="0" customWidth="1"/>
    <col min="6" max="6" width="10.28125" style="0" bestFit="1" customWidth="1"/>
    <col min="7" max="7" width="22.57421875" style="0" customWidth="1"/>
    <col min="8" max="8" width="18.00390625" style="0" customWidth="1"/>
    <col min="9" max="9" width="1.28515625" style="0" customWidth="1"/>
    <col min="10" max="10" width="6.421875" style="5" customWidth="1"/>
    <col min="11" max="11" width="10.28125" style="0" customWidth="1"/>
    <col min="12" max="12" width="21.7109375" style="0" customWidth="1"/>
    <col min="13" max="13" width="21.00390625" style="0" customWidth="1"/>
    <col min="14" max="14" width="10.28125" style="0" customWidth="1"/>
    <col min="15" max="15" width="16.140625" style="0" customWidth="1"/>
    <col min="16" max="16" width="12.7109375" style="0" customWidth="1"/>
    <col min="17" max="17" width="15.140625" style="0" customWidth="1"/>
    <col min="18" max="18" width="12.28125" style="0" bestFit="1" customWidth="1"/>
    <col min="19" max="19" width="14.57421875" style="0" customWidth="1"/>
    <col min="20" max="20" width="11.7109375" style="0" customWidth="1"/>
    <col min="21" max="21" width="9.421875" style="0" customWidth="1"/>
    <col min="22" max="22" width="11.140625" style="0" customWidth="1"/>
    <col min="23" max="23" width="16.00390625" style="0" customWidth="1"/>
    <col min="24" max="24" width="13.00390625" style="0" customWidth="1"/>
    <col min="25" max="25" width="11.140625" style="0" customWidth="1"/>
    <col min="26" max="26" width="15.00390625" style="0" bestFit="1" customWidth="1"/>
    <col min="27" max="27" width="9.421875" style="0" customWidth="1"/>
    <col min="28" max="28" width="19.57421875" style="0" customWidth="1"/>
    <col min="29" max="30" width="21.28125" style="0" customWidth="1"/>
    <col min="31" max="31" width="13.7109375" style="0" bestFit="1" customWidth="1"/>
    <col min="32" max="32" width="20.8515625" style="0" bestFit="1" customWidth="1"/>
    <col min="33" max="37" width="10.28125" style="0" bestFit="1" customWidth="1"/>
    <col min="39" max="39" width="20.421875" style="0" customWidth="1"/>
    <col min="40" max="40" width="17.8515625" style="0" customWidth="1"/>
    <col min="41" max="41" width="20.57421875" style="0" customWidth="1"/>
  </cols>
  <sheetData>
    <row r="2" spans="3:39" ht="15.75" customHeight="1" thickBot="1">
      <c r="C2" s="60" t="s">
        <v>329</v>
      </c>
      <c r="O2" s="60" t="s">
        <v>219</v>
      </c>
      <c r="P2" s="60"/>
      <c r="Q2" s="60"/>
      <c r="AB2" s="60" t="s">
        <v>209</v>
      </c>
      <c r="AM2" s="60" t="s">
        <v>226</v>
      </c>
    </row>
    <row r="3" spans="3:44" ht="15.75" customHeight="1">
      <c r="C3" s="237" t="s">
        <v>331</v>
      </c>
      <c r="D3" s="238" t="s">
        <v>304</v>
      </c>
      <c r="E3" s="230" t="s">
        <v>351</v>
      </c>
      <c r="F3" s="231"/>
      <c r="G3" s="231"/>
      <c r="H3" s="231"/>
      <c r="I3" s="231"/>
      <c r="J3" s="231"/>
      <c r="K3" s="231"/>
      <c r="L3" s="231"/>
      <c r="M3" s="232"/>
      <c r="O3" s="180" t="s">
        <v>293</v>
      </c>
      <c r="P3" s="168"/>
      <c r="Q3" s="168"/>
      <c r="R3" s="168"/>
      <c r="S3" s="168"/>
      <c r="T3" s="168"/>
      <c r="U3" s="168"/>
      <c r="V3" s="168"/>
      <c r="W3" s="168"/>
      <c r="X3" s="168"/>
      <c r="Y3" s="168"/>
      <c r="Z3" s="169"/>
      <c r="AB3" s="180" t="s">
        <v>295</v>
      </c>
      <c r="AC3" s="168"/>
      <c r="AD3" s="168"/>
      <c r="AE3" s="168"/>
      <c r="AF3" s="168"/>
      <c r="AG3" s="168"/>
      <c r="AH3" s="168"/>
      <c r="AI3" s="168"/>
      <c r="AJ3" s="168"/>
      <c r="AK3" s="169"/>
      <c r="AM3" s="180" t="s">
        <v>297</v>
      </c>
      <c r="AN3" s="186"/>
      <c r="AO3" s="186"/>
      <c r="AP3" s="186"/>
      <c r="AQ3" s="186"/>
      <c r="AR3" s="187"/>
    </row>
    <row r="4" spans="3:44" ht="15.75" customHeight="1" thickBot="1">
      <c r="C4" s="6"/>
      <c r="D4" s="6"/>
      <c r="E4" s="233" t="s">
        <v>457</v>
      </c>
      <c r="F4" s="234"/>
      <c r="G4" s="234"/>
      <c r="H4" s="234"/>
      <c r="I4" s="234"/>
      <c r="J4" s="234"/>
      <c r="K4" s="234"/>
      <c r="L4" s="234"/>
      <c r="M4" s="235"/>
      <c r="O4" s="181" t="s">
        <v>294</v>
      </c>
      <c r="P4" s="172"/>
      <c r="Q4" s="172"/>
      <c r="R4" s="172"/>
      <c r="S4" s="172"/>
      <c r="T4" s="172"/>
      <c r="U4" s="172"/>
      <c r="V4" s="172"/>
      <c r="W4" s="172"/>
      <c r="X4" s="172"/>
      <c r="Y4" s="172"/>
      <c r="Z4" s="173"/>
      <c r="AB4" s="181" t="s">
        <v>296</v>
      </c>
      <c r="AC4" s="172"/>
      <c r="AD4" s="172"/>
      <c r="AE4" s="172"/>
      <c r="AF4" s="172"/>
      <c r="AG4" s="172"/>
      <c r="AH4" s="172"/>
      <c r="AI4" s="172"/>
      <c r="AJ4" s="172"/>
      <c r="AK4" s="173"/>
      <c r="AM4" s="181" t="s">
        <v>298</v>
      </c>
      <c r="AN4" s="172"/>
      <c r="AO4" s="172"/>
      <c r="AP4" s="172"/>
      <c r="AQ4" s="172"/>
      <c r="AR4" s="173"/>
    </row>
    <row r="5" ht="15.75" customHeight="1" thickBot="1"/>
    <row r="6" spans="2:44" ht="15.75" customHeight="1" thickBot="1">
      <c r="B6" s="216"/>
      <c r="C6" s="217"/>
      <c r="D6" s="217"/>
      <c r="E6" s="217"/>
      <c r="F6" s="217"/>
      <c r="G6" s="217"/>
      <c r="H6" s="217"/>
      <c r="I6" s="218"/>
      <c r="J6" s="229"/>
      <c r="O6" s="194" t="s">
        <v>318</v>
      </c>
      <c r="P6" s="188"/>
      <c r="Q6" s="188"/>
      <c r="R6" s="188"/>
      <c r="S6" s="188"/>
      <c r="T6" s="188"/>
      <c r="U6" s="188"/>
      <c r="V6" s="188"/>
      <c r="W6" s="188"/>
      <c r="X6" s="188"/>
      <c r="Y6" s="188"/>
      <c r="Z6" s="189"/>
      <c r="AM6" s="81" t="s">
        <v>215</v>
      </c>
      <c r="AN6" s="81"/>
      <c r="AO6" s="81"/>
      <c r="AQ6" s="81" t="s">
        <v>15</v>
      </c>
      <c r="AR6" s="81"/>
    </row>
    <row r="7" spans="2:44" ht="15.75" customHeight="1" thickBot="1">
      <c r="B7" s="219"/>
      <c r="C7" s="210" t="s">
        <v>333</v>
      </c>
      <c r="D7" s="8"/>
      <c r="E7" s="8"/>
      <c r="F7" s="8"/>
      <c r="G7" s="210" t="s">
        <v>334</v>
      </c>
      <c r="H7" s="8"/>
      <c r="I7" s="220"/>
      <c r="J7" s="229" t="s">
        <v>350</v>
      </c>
      <c r="K7" s="209" t="s">
        <v>336</v>
      </c>
      <c r="O7" s="112" t="s">
        <v>167</v>
      </c>
      <c r="P7" s="112"/>
      <c r="Q7" s="112"/>
      <c r="R7" s="112"/>
      <c r="S7" s="112"/>
      <c r="T7" s="112"/>
      <c r="U7" s="112"/>
      <c r="V7" s="112"/>
      <c r="W7" s="112"/>
      <c r="X7" s="112"/>
      <c r="Y7" s="112"/>
      <c r="Z7" s="112"/>
      <c r="AB7" s="83" t="s">
        <v>210</v>
      </c>
      <c r="AC7" s="61"/>
      <c r="AD7" s="61"/>
      <c r="AF7" s="185" t="s">
        <v>29</v>
      </c>
      <c r="AG7" s="182"/>
      <c r="AH7" s="182"/>
      <c r="AI7" s="182"/>
      <c r="AJ7" s="183"/>
      <c r="AK7" s="184"/>
      <c r="AM7" s="68" t="s">
        <v>8</v>
      </c>
      <c r="AN7" s="68" t="s">
        <v>3</v>
      </c>
      <c r="AO7" s="68" t="s">
        <v>63</v>
      </c>
      <c r="AQ7" s="68" t="s">
        <v>8</v>
      </c>
      <c r="AR7" s="68" t="s">
        <v>269</v>
      </c>
    </row>
    <row r="8" spans="2:44" ht="15.75" customHeight="1">
      <c r="B8" s="219"/>
      <c r="C8" s="174" t="s">
        <v>292</v>
      </c>
      <c r="D8" s="175"/>
      <c r="E8" s="176"/>
      <c r="F8" s="8"/>
      <c r="G8" s="180" t="s">
        <v>358</v>
      </c>
      <c r="H8" s="169"/>
      <c r="I8" s="220"/>
      <c r="J8"/>
      <c r="K8" s="180" t="s">
        <v>353</v>
      </c>
      <c r="L8" s="168"/>
      <c r="M8" s="169"/>
      <c r="O8" s="62" t="s">
        <v>35</v>
      </c>
      <c r="P8" s="87"/>
      <c r="Q8" s="87"/>
      <c r="R8" s="87"/>
      <c r="S8" s="87"/>
      <c r="T8" s="87"/>
      <c r="U8" s="87"/>
      <c r="V8" s="34"/>
      <c r="W8" s="113" t="s">
        <v>220</v>
      </c>
      <c r="X8" s="89"/>
      <c r="Y8" s="90"/>
      <c r="Z8" s="90"/>
      <c r="AB8" s="115"/>
      <c r="AC8" s="68" t="s">
        <v>8</v>
      </c>
      <c r="AD8" s="68" t="s">
        <v>324</v>
      </c>
      <c r="AH8" s="151"/>
      <c r="AI8" s="6"/>
      <c r="AJ8" s="4"/>
      <c r="AK8" s="3"/>
      <c r="AM8" s="66" t="b">
        <v>0</v>
      </c>
      <c r="AN8" s="1" t="s">
        <v>41</v>
      </c>
      <c r="AO8" s="1" t="s">
        <v>7</v>
      </c>
      <c r="AQ8" s="66">
        <v>1</v>
      </c>
      <c r="AR8" s="1" t="s">
        <v>265</v>
      </c>
    </row>
    <row r="9" spans="2:44" ht="15.75" customHeight="1" thickBot="1">
      <c r="B9" s="219"/>
      <c r="C9" s="177" t="s">
        <v>332</v>
      </c>
      <c r="D9" s="178"/>
      <c r="E9" s="179"/>
      <c r="F9" s="8"/>
      <c r="G9" s="181"/>
      <c r="H9" s="173"/>
      <c r="I9" s="220"/>
      <c r="J9" s="229"/>
      <c r="K9" s="177" t="s">
        <v>352</v>
      </c>
      <c r="L9" s="178"/>
      <c r="M9" s="179"/>
      <c r="O9" s="101"/>
      <c r="P9" s="102"/>
      <c r="Q9" s="91" t="s">
        <v>21</v>
      </c>
      <c r="R9" s="92"/>
      <c r="S9" s="92"/>
      <c r="T9" s="92"/>
      <c r="U9" s="93"/>
      <c r="V9" s="4"/>
      <c r="W9" s="101"/>
      <c r="X9" s="102"/>
      <c r="Y9" s="91" t="s">
        <v>21</v>
      </c>
      <c r="Z9" s="93"/>
      <c r="AB9" s="65" t="s">
        <v>27</v>
      </c>
      <c r="AC9" s="202" t="e">
        <f>Calc_Demand</f>
        <v>#N/A</v>
      </c>
      <c r="AD9" s="114" t="str">
        <f>IF(OR(Calc_IN_MktInvest=0,Calc_IN_Price=0),"--",Calc_Demand)</f>
        <v>--</v>
      </c>
      <c r="AH9" s="6"/>
      <c r="AI9" s="6"/>
      <c r="AJ9" s="4"/>
      <c r="AK9" s="3"/>
      <c r="AM9" s="66" t="b">
        <v>1</v>
      </c>
      <c r="AN9" s="1" t="s">
        <v>40</v>
      </c>
      <c r="AO9" s="1" t="s">
        <v>51</v>
      </c>
      <c r="AQ9" s="66">
        <v>200</v>
      </c>
      <c r="AR9" s="1" t="s">
        <v>267</v>
      </c>
    </row>
    <row r="10" spans="2:44" ht="15.75" customHeight="1" thickBot="1">
      <c r="B10" s="219"/>
      <c r="C10" s="8"/>
      <c r="D10" s="8"/>
      <c r="E10" s="8"/>
      <c r="F10" s="8"/>
      <c r="G10" s="8"/>
      <c r="H10" s="8"/>
      <c r="I10" s="220"/>
      <c r="J10"/>
      <c r="O10" s="103"/>
      <c r="P10" s="104"/>
      <c r="Q10" s="96">
        <v>1</v>
      </c>
      <c r="R10" s="96">
        <v>2</v>
      </c>
      <c r="S10" s="96">
        <v>3</v>
      </c>
      <c r="T10" s="96">
        <v>4</v>
      </c>
      <c r="U10" s="96">
        <v>5</v>
      </c>
      <c r="V10" s="100" t="s">
        <v>25</v>
      </c>
      <c r="W10" s="103"/>
      <c r="X10" s="104"/>
      <c r="Y10" s="96" t="e">
        <f>MATCH(Calc_IN_MktInvest,LUV_DemandMatrix_MktInvest)</f>
        <v>#N/A</v>
      </c>
      <c r="Z10" s="96" t="e">
        <f>IF(Y10&lt;5,Y10+1,Y10)</f>
        <v>#N/A</v>
      </c>
      <c r="AH10" s="6"/>
      <c r="AI10" s="152"/>
      <c r="AJ10" s="3"/>
      <c r="AK10" s="3"/>
      <c r="AM10" s="66" t="e">
        <v>#N/A</v>
      </c>
      <c r="AN10" s="69" t="s">
        <v>213</v>
      </c>
      <c r="AO10" s="69" t="s">
        <v>213</v>
      </c>
      <c r="AQ10" s="66">
        <v>350</v>
      </c>
      <c r="AR10" s="1" t="s">
        <v>131</v>
      </c>
    </row>
    <row r="11" spans="2:44" ht="15.75" customHeight="1">
      <c r="B11" s="219"/>
      <c r="C11" s="180" t="s">
        <v>299</v>
      </c>
      <c r="D11" s="190"/>
      <c r="E11" s="191"/>
      <c r="F11" s="8"/>
      <c r="G11" s="180" t="s">
        <v>335</v>
      </c>
      <c r="H11" s="169"/>
      <c r="I11" s="220"/>
      <c r="J11" s="229" t="s">
        <v>350</v>
      </c>
      <c r="K11" s="180" t="s">
        <v>355</v>
      </c>
      <c r="L11" s="190"/>
      <c r="M11" s="191"/>
      <c r="O11" s="122" t="s">
        <v>15</v>
      </c>
      <c r="P11" s="95"/>
      <c r="Q11" s="97">
        <v>1</v>
      </c>
      <c r="R11" s="97">
        <v>400000</v>
      </c>
      <c r="S11" s="97">
        <v>500000</v>
      </c>
      <c r="T11" s="97">
        <v>700000</v>
      </c>
      <c r="U11" s="97">
        <v>1000000</v>
      </c>
      <c r="V11" s="100" t="s">
        <v>221</v>
      </c>
      <c r="W11" s="94" t="s">
        <v>15</v>
      </c>
      <c r="X11" s="99"/>
      <c r="Y11" s="96" t="e">
        <f>LOOKUP(Y10,LUV_DemandMatrix_MktInvest_Normalized,LUV_DemandMatrix_MktInvest)</f>
        <v>#N/A</v>
      </c>
      <c r="Z11" s="96" t="e">
        <f>LOOKUP(Z10,LUV_DemandMatrix_MktInvest_Normalized,LUV_DemandMatrix_MktInvest)</f>
        <v>#N/A</v>
      </c>
      <c r="AB11" s="83" t="s">
        <v>63</v>
      </c>
      <c r="AC11" s="61"/>
      <c r="AD11" s="61"/>
      <c r="AH11" s="6"/>
      <c r="AI11" s="6"/>
      <c r="AJ11" s="3"/>
      <c r="AK11" s="3"/>
      <c r="AQ11" s="66">
        <v>500</v>
      </c>
      <c r="AR11" s="1" t="s">
        <v>268</v>
      </c>
    </row>
    <row r="12" spans="2:44" ht="15.75" customHeight="1" thickBot="1">
      <c r="B12" s="219"/>
      <c r="C12" s="181" t="s">
        <v>300</v>
      </c>
      <c r="D12" s="192"/>
      <c r="E12" s="193"/>
      <c r="F12" s="8"/>
      <c r="G12" s="208"/>
      <c r="H12" s="173"/>
      <c r="I12" s="221"/>
      <c r="J12"/>
      <c r="K12" s="181" t="s">
        <v>354</v>
      </c>
      <c r="L12" s="192"/>
      <c r="M12" s="193"/>
      <c r="O12" s="96">
        <v>1</v>
      </c>
      <c r="P12" s="96">
        <v>100</v>
      </c>
      <c r="Q12" s="98">
        <v>210000</v>
      </c>
      <c r="R12" s="98">
        <v>525000</v>
      </c>
      <c r="S12" s="98">
        <v>656250</v>
      </c>
      <c r="T12" s="98">
        <v>874125</v>
      </c>
      <c r="U12" s="98">
        <v>1050000</v>
      </c>
      <c r="V12" s="3"/>
      <c r="W12" s="96" t="e">
        <f>MATCH(Calc_IN_Price,LUV_DemandMatrix_Price)</f>
        <v>#N/A</v>
      </c>
      <c r="X12" s="96" t="e">
        <f>LOOKUP(W12,LUV_DemandMatrix_Price_Normalized,LUV_DemandMatrix_Price)</f>
        <v>#N/A</v>
      </c>
      <c r="Y12" s="98" t="e">
        <f ca="1">OFFSET(OFFSET_DemandMatrix,2+$W$12,1+$Y$10)</f>
        <v>#N/A</v>
      </c>
      <c r="Z12" s="98" t="e">
        <f ca="1">OFFSET(OFFSET_DemandMatrix,2+$W$12,1+$Z$10)</f>
        <v>#N/A</v>
      </c>
      <c r="AB12" s="115"/>
      <c r="AC12" s="68" t="s">
        <v>8</v>
      </c>
      <c r="AD12" s="68" t="s">
        <v>324</v>
      </c>
      <c r="AH12" s="151"/>
      <c r="AI12" s="6"/>
      <c r="AJ12" s="3"/>
      <c r="AK12" s="8"/>
      <c r="AM12" s="81" t="s">
        <v>24</v>
      </c>
      <c r="AN12" s="81"/>
      <c r="AQ12" s="66">
        <v>600</v>
      </c>
      <c r="AR12" s="1" t="s">
        <v>266</v>
      </c>
    </row>
    <row r="13" spans="2:40" ht="15.75" customHeight="1">
      <c r="B13" s="219"/>
      <c r="C13" s="211" t="s">
        <v>210</v>
      </c>
      <c r="D13" s="212"/>
      <c r="F13" s="8"/>
      <c r="G13" s="213" t="s">
        <v>210</v>
      </c>
      <c r="H13" s="214"/>
      <c r="I13" s="222"/>
      <c r="J13" s="229"/>
      <c r="K13" s="63" t="s">
        <v>210</v>
      </c>
      <c r="L13" s="64"/>
      <c r="M13" s="64"/>
      <c r="O13" s="96">
        <v>2</v>
      </c>
      <c r="P13" s="96">
        <v>300</v>
      </c>
      <c r="Q13" s="98">
        <v>52500</v>
      </c>
      <c r="R13" s="98">
        <v>131250</v>
      </c>
      <c r="S13" s="98">
        <v>315000</v>
      </c>
      <c r="T13" s="98">
        <v>437063</v>
      </c>
      <c r="U13" s="98">
        <v>525000</v>
      </c>
      <c r="V13" s="3"/>
      <c r="W13" s="96" t="e">
        <f>IF(W12&lt;8,W12+1,W12)</f>
        <v>#N/A</v>
      </c>
      <c r="X13" s="96" t="e">
        <f>LOOKUP(W13,LUV_DemandMatrix_Price_Normalized,LUV_DemandMatrix_Price)</f>
        <v>#N/A</v>
      </c>
      <c r="Y13" s="98" t="e">
        <f ca="1">OFFSET(OFFSET_DemandMatrix,2+$W$13,1+$Y$10)</f>
        <v>#N/A</v>
      </c>
      <c r="Z13" s="98" t="e">
        <f ca="1">OFFSET(OFFSET_DemandMatrix,2+$W$13,1+$Z$10)</f>
        <v>#N/A</v>
      </c>
      <c r="AB13" s="67" t="s">
        <v>3</v>
      </c>
      <c r="AC13" s="203">
        <f>Calc_CC_Plant</f>
        <v>0</v>
      </c>
      <c r="AD13" s="121" t="str">
        <f>IF(OR(ISNA(Calc_IN_Plant),ISNA(Calc_IN_CC_Plant)),"--",Calc_CC_Plant)</f>
        <v>--</v>
      </c>
      <c r="AH13" s="6"/>
      <c r="AI13" s="6"/>
      <c r="AJ13" s="3"/>
      <c r="AK13" s="8"/>
      <c r="AM13" s="68" t="s">
        <v>227</v>
      </c>
      <c r="AN13" s="68" t="s">
        <v>9</v>
      </c>
    </row>
    <row r="14" spans="2:44" ht="15.75" customHeight="1">
      <c r="B14" s="219"/>
      <c r="C14" s="72"/>
      <c r="D14" s="68" t="s">
        <v>327</v>
      </c>
      <c r="E14" s="206" t="s">
        <v>328</v>
      </c>
      <c r="G14" s="72"/>
      <c r="H14" s="68" t="s">
        <v>327</v>
      </c>
      <c r="I14" s="223"/>
      <c r="J14"/>
      <c r="K14" s="72"/>
      <c r="L14" s="68" t="s">
        <v>327</v>
      </c>
      <c r="M14" s="68" t="s">
        <v>211</v>
      </c>
      <c r="O14" s="96">
        <v>3</v>
      </c>
      <c r="P14" s="96">
        <v>400</v>
      </c>
      <c r="Q14" s="98">
        <v>38587</v>
      </c>
      <c r="R14" s="98">
        <v>105000</v>
      </c>
      <c r="S14" s="98">
        <v>262500</v>
      </c>
      <c r="T14" s="98">
        <v>337995</v>
      </c>
      <c r="U14" s="98">
        <v>351750</v>
      </c>
      <c r="V14" s="3"/>
      <c r="W14" s="88" t="s">
        <v>225</v>
      </c>
      <c r="X14" s="88"/>
      <c r="Y14" s="88"/>
      <c r="Z14" s="88"/>
      <c r="AB14" s="67" t="s">
        <v>50</v>
      </c>
      <c r="AC14" s="203">
        <f>Calc_CC_MktInvest</f>
        <v>0</v>
      </c>
      <c r="AD14" s="121" t="str">
        <f>IF(OR(Calc_IN_MktInvest=0,ISNA(Calc_IN_CC_MktInvest)),"--",Calc_IN_MktInvest)</f>
        <v>--</v>
      </c>
      <c r="AH14" s="6"/>
      <c r="AI14" s="152"/>
      <c r="AJ14" s="3"/>
      <c r="AK14" s="8"/>
      <c r="AM14" s="116" t="s">
        <v>40</v>
      </c>
      <c r="AN14" s="117">
        <f>30000000</f>
        <v>30000000</v>
      </c>
      <c r="AQ14" s="81" t="s">
        <v>21</v>
      </c>
      <c r="AR14" s="81"/>
    </row>
    <row r="15" spans="2:44" ht="15.75" customHeight="1">
      <c r="B15" s="219"/>
      <c r="C15" s="67" t="s">
        <v>212</v>
      </c>
      <c r="D15" s="70" t="e">
        <v>#N/A</v>
      </c>
      <c r="E15" s="207" t="e">
        <v>#N/A</v>
      </c>
      <c r="G15" s="67" t="s">
        <v>212</v>
      </c>
      <c r="H15" s="70" t="b">
        <f>Test_IN_Plant</f>
        <v>0</v>
      </c>
      <c r="I15" s="223"/>
      <c r="J15" s="229" t="s">
        <v>350</v>
      </c>
      <c r="K15" s="67" t="s">
        <v>212</v>
      </c>
      <c r="L15" s="70" t="e">
        <f>IF(SWITCH_INPUT=LUV_InputSwitch_UserInterface,Calc_UI_IN_Plant,Calc_Test_IN_Plant)</f>
        <v>#N/A</v>
      </c>
      <c r="M15" s="82" t="str">
        <f>IF(ISNA(Calc_IN_Plant),"--None Selected--",LOOKUP(Calc_IN_Plant,LUV_OptionButton_Value,LUV_OptionButton_Plant))</f>
        <v>--None Selected--</v>
      </c>
      <c r="O15" s="96">
        <v>4</v>
      </c>
      <c r="P15" s="96">
        <v>430</v>
      </c>
      <c r="Q15" s="98">
        <v>26250</v>
      </c>
      <c r="R15" s="98">
        <v>52500</v>
      </c>
      <c r="S15" s="98">
        <v>90317</v>
      </c>
      <c r="T15" s="98">
        <v>145188</v>
      </c>
      <c r="U15" s="98">
        <v>158588</v>
      </c>
      <c r="V15" s="3"/>
      <c r="W15" s="105" t="s">
        <v>222</v>
      </c>
      <c r="X15" s="93"/>
      <c r="Y15" s="109" t="e">
        <f>1-Z15</f>
        <v>#N/A</v>
      </c>
      <c r="Z15" s="109" t="e">
        <f>IF(Calc_LocalDemandMatrix_MktInvest_LowerBound=Calc_LocalDemandMatrix_MktInvest_UpperBound,(Calc_IN_MktInvest-Calc_LocalDemandMatrix_MktInvest_LowerBound),(Calc_IN_MktInvest-Calc_LocalDemandMatrix_MktInvest_LowerBound)/(Calc_LocalDemandMatrix_MktInvest_UpperBound-Calc_LocalDemandMatrix_MktInvest_LowerBound))</f>
        <v>#N/A</v>
      </c>
      <c r="AB15" s="67" t="s">
        <v>1</v>
      </c>
      <c r="AC15" s="203">
        <f>Calc_CC_Labor</f>
        <v>100</v>
      </c>
      <c r="AD15" s="121" t="str">
        <f>IF(ISNA(Calc_IN_CC_Labor),"--",Calc_CC_Labor)</f>
        <v>--</v>
      </c>
      <c r="AH15" s="6"/>
      <c r="AI15" s="7"/>
      <c r="AJ15" s="8"/>
      <c r="AK15" s="8"/>
      <c r="AM15" s="116" t="s">
        <v>41</v>
      </c>
      <c r="AN15" s="117">
        <f>2000000</f>
        <v>2000000</v>
      </c>
      <c r="AQ15" s="68" t="s">
        <v>8</v>
      </c>
      <c r="AR15" s="68" t="s">
        <v>269</v>
      </c>
    </row>
    <row r="16" spans="2:44" ht="15.75" customHeight="1">
      <c r="B16" s="219"/>
      <c r="C16" s="65" t="s">
        <v>45</v>
      </c>
      <c r="D16" s="71">
        <v>0</v>
      </c>
      <c r="F16" s="8"/>
      <c r="G16" s="65" t="s">
        <v>45</v>
      </c>
      <c r="H16" s="71">
        <f>Test_IN_Outsource</f>
        <v>20</v>
      </c>
      <c r="I16" s="223"/>
      <c r="J16"/>
      <c r="K16" s="65" t="s">
        <v>45</v>
      </c>
      <c r="L16" s="70">
        <f>IF(SWITCH_INPUT=LUV_InputSwitch_UserInterface,Calc_UI_IN_Outsource,Calc_Test_IN_Outsource)</f>
        <v>0</v>
      </c>
      <c r="M16" s="84">
        <f>Calc_IN_Outsource/100</f>
        <v>0</v>
      </c>
      <c r="O16" s="96">
        <v>5</v>
      </c>
      <c r="P16" s="96">
        <v>500</v>
      </c>
      <c r="Q16" s="98">
        <v>13124</v>
      </c>
      <c r="R16" s="98">
        <v>26250</v>
      </c>
      <c r="S16" s="98">
        <v>32501</v>
      </c>
      <c r="T16" s="98">
        <v>40142</v>
      </c>
      <c r="U16" s="98">
        <v>39180</v>
      </c>
      <c r="V16" s="6"/>
      <c r="W16" s="105" t="s">
        <v>223</v>
      </c>
      <c r="X16" s="108"/>
      <c r="Y16" s="110" t="e">
        <f>1-Z16</f>
        <v>#N/A</v>
      </c>
      <c r="Z16" s="110" t="e">
        <f>IF(Calc_LocalDemandMatrix_Price_UpperBound=Calc_LocalDemandMatrix_Price_LowerBound,Calc_IN_Price-Calc_LocalDemandMatrix_Price_LowerBound,(Calc_IN_Price-Calc_LocalDemandMatrix_Price_LowerBound)/(Calc_LocalDemandMatrix_Price_UpperBound-Calc_LocalDemandMatrix_Price_LowerBound))</f>
        <v>#N/A</v>
      </c>
      <c r="AB16" s="67" t="s">
        <v>2</v>
      </c>
      <c r="AC16" s="203">
        <f>Calc_CC_RawMat</f>
        <v>260</v>
      </c>
      <c r="AD16" s="121" t="str">
        <f>IF(ISNA(Calc_IN_CC_RawMat),"--",Calc_CC_RawMat)</f>
        <v>--</v>
      </c>
      <c r="AH16" s="151"/>
      <c r="AI16" s="6"/>
      <c r="AJ16" s="8"/>
      <c r="AK16" s="8"/>
      <c r="AM16" s="118" t="s">
        <v>213</v>
      </c>
      <c r="AN16" s="117">
        <v>0</v>
      </c>
      <c r="AQ16" s="163">
        <v>1</v>
      </c>
      <c r="AR16" s="1" t="s">
        <v>265</v>
      </c>
    </row>
    <row r="17" spans="2:44" ht="15.75" customHeight="1">
      <c r="B17" s="219"/>
      <c r="C17" s="65" t="s">
        <v>47</v>
      </c>
      <c r="D17" s="71">
        <v>0</v>
      </c>
      <c r="F17" s="8"/>
      <c r="G17" s="65" t="s">
        <v>47</v>
      </c>
      <c r="H17" s="71">
        <f>Test_IN_MfgAuto</f>
        <v>20</v>
      </c>
      <c r="I17" s="224"/>
      <c r="J17" s="229"/>
      <c r="K17" s="65" t="s">
        <v>47</v>
      </c>
      <c r="L17" s="70">
        <f>IF(SWITCH_INPUT=LUV_InputSwitch_UserInterface,Calc_UI_IN_MfgAuto,Calc_Test_IN_MfgAuto)</f>
        <v>0</v>
      </c>
      <c r="M17" s="85">
        <f>Calc_IN_MfgAuto/100</f>
        <v>0</v>
      </c>
      <c r="O17" s="96">
        <v>6</v>
      </c>
      <c r="P17" s="96">
        <v>750</v>
      </c>
      <c r="Q17" s="98">
        <v>2500</v>
      </c>
      <c r="R17" s="98">
        <v>4600</v>
      </c>
      <c r="S17" s="98">
        <v>5200</v>
      </c>
      <c r="T17" s="98">
        <v>5800</v>
      </c>
      <c r="U17" s="98">
        <v>5700</v>
      </c>
      <c r="V17" s="8"/>
      <c r="W17" s="78" t="s">
        <v>28</v>
      </c>
      <c r="X17" s="106"/>
      <c r="Y17" s="107"/>
      <c r="Z17" s="111" t="e">
        <f>ROUNDUP(((Z16*((Z15*Z13)+(Y15*Y13)))+(Y16*((Z15*Z12)+(Y15*Y12)))),0)</f>
        <v>#N/A</v>
      </c>
      <c r="AB17" s="67" t="s">
        <v>4</v>
      </c>
      <c r="AC17" s="203">
        <f>Calc_CC_Machinery</f>
        <v>24000000</v>
      </c>
      <c r="AD17" s="121" t="str">
        <f>IF(ISNA(Calc_IN_CC_Machinery),"--",Calc_CC_Machinery)</f>
        <v>--</v>
      </c>
      <c r="AH17" s="6"/>
      <c r="AI17" s="6"/>
      <c r="AQ17" s="163">
        <v>300000</v>
      </c>
      <c r="AR17" s="1" t="s">
        <v>267</v>
      </c>
    </row>
    <row r="18" spans="2:44" ht="15.75" customHeight="1">
      <c r="B18" s="219"/>
      <c r="C18" s="65" t="s">
        <v>21</v>
      </c>
      <c r="D18" s="74">
        <f>UI_IN_MktInvest</f>
        <v>0</v>
      </c>
      <c r="F18" s="8"/>
      <c r="G18" s="65" t="s">
        <v>21</v>
      </c>
      <c r="H18" s="74">
        <f>Test_IN_MktInvest</f>
        <v>500000</v>
      </c>
      <c r="I18" s="224"/>
      <c r="J18"/>
      <c r="K18" s="65" t="s">
        <v>21</v>
      </c>
      <c r="L18" s="70">
        <f>IF(SWITCH_INPUT=LUV_InputSwitch_UserInterface,Calc_UI_IN_MktInvest,Calc_Test_IN_MktInvest)</f>
        <v>0</v>
      </c>
      <c r="M18" s="77"/>
      <c r="O18" s="96">
        <v>7</v>
      </c>
      <c r="P18" s="96">
        <v>3000</v>
      </c>
      <c r="Q18" s="98">
        <v>1</v>
      </c>
      <c r="R18" s="98">
        <v>1</v>
      </c>
      <c r="S18" s="98">
        <v>1</v>
      </c>
      <c r="T18" s="98">
        <v>1</v>
      </c>
      <c r="U18" s="98">
        <v>1</v>
      </c>
      <c r="V18" s="8"/>
      <c r="W18" s="123"/>
      <c r="X18" s="124"/>
      <c r="Y18" s="124"/>
      <c r="Z18" s="125"/>
      <c r="AB18" s="67" t="s">
        <v>5</v>
      </c>
      <c r="AC18" s="203">
        <f>Calc_CC_Tools</f>
        <v>2100000</v>
      </c>
      <c r="AD18" s="121" t="str">
        <f>IF(ISNA(Calc_IN_CC_Tools),"--",Calc_CC_Tools)</f>
        <v>--</v>
      </c>
      <c r="AH18" s="6"/>
      <c r="AI18" s="153"/>
      <c r="AM18" s="81" t="s">
        <v>254</v>
      </c>
      <c r="AN18" s="141"/>
      <c r="AO18" s="81" t="s">
        <v>330</v>
      </c>
      <c r="AQ18" s="163">
        <v>400000</v>
      </c>
      <c r="AR18" s="1" t="s">
        <v>131</v>
      </c>
    </row>
    <row r="19" spans="2:44" ht="15.75" customHeight="1">
      <c r="B19" s="219"/>
      <c r="C19" s="65" t="s">
        <v>46</v>
      </c>
      <c r="D19" s="74">
        <f>UI_IN_Price</f>
        <v>0</v>
      </c>
      <c r="F19" s="8"/>
      <c r="G19" s="65" t="s">
        <v>46</v>
      </c>
      <c r="H19" s="74">
        <f>Test_IN_Price</f>
        <v>295</v>
      </c>
      <c r="I19" s="220"/>
      <c r="J19" s="229" t="s">
        <v>350</v>
      </c>
      <c r="K19" s="65" t="s">
        <v>46</v>
      </c>
      <c r="L19" s="70">
        <f>IF(SWITCH_INPUT=LUV_InputSwitch_UserInterface,Calc_UI_IN_Price,Calc_Test_IN_Price)</f>
        <v>0</v>
      </c>
      <c r="M19" s="77"/>
      <c r="O19" s="96">
        <v>8</v>
      </c>
      <c r="P19" s="96">
        <v>3001</v>
      </c>
      <c r="Q19" s="98">
        <v>0</v>
      </c>
      <c r="R19" s="98">
        <v>0</v>
      </c>
      <c r="S19" s="98">
        <v>0</v>
      </c>
      <c r="T19" s="98">
        <v>0</v>
      </c>
      <c r="U19" s="98">
        <v>0</v>
      </c>
      <c r="W19" s="76"/>
      <c r="X19" s="6"/>
      <c r="Y19" s="6"/>
      <c r="Z19" s="6"/>
      <c r="AB19" s="67" t="s">
        <v>6</v>
      </c>
      <c r="AC19" s="203">
        <f>Calc_CC_Outsource</f>
        <v>0</v>
      </c>
      <c r="AD19" s="121" t="str">
        <f>IF(ISNA(Calc_IN_CC_Outsource),"--",Calc_CC_Outsource)</f>
        <v>--</v>
      </c>
      <c r="AH19" s="6"/>
      <c r="AI19" s="6"/>
      <c r="AM19" s="68" t="s">
        <v>214</v>
      </c>
      <c r="AN19" s="76"/>
      <c r="AO19" s="68" t="s">
        <v>349</v>
      </c>
      <c r="AQ19" s="163">
        <v>1000001</v>
      </c>
      <c r="AR19" s="1" t="s">
        <v>268</v>
      </c>
    </row>
    <row r="20" spans="2:44" ht="15.75" customHeight="1" thickBot="1">
      <c r="B20" s="219"/>
      <c r="C20" s="6"/>
      <c r="D20" s="13"/>
      <c r="E20" s="13"/>
      <c r="F20" s="8"/>
      <c r="G20" s="8"/>
      <c r="H20" s="8"/>
      <c r="I20" s="220"/>
      <c r="J20"/>
      <c r="K20" s="6"/>
      <c r="L20" s="13"/>
      <c r="M20" s="13"/>
      <c r="O20" s="100" t="s">
        <v>25</v>
      </c>
      <c r="P20" s="100" t="s">
        <v>221</v>
      </c>
      <c r="AB20" s="6"/>
      <c r="AC20" s="13"/>
      <c r="AD20" s="13"/>
      <c r="AH20" s="151"/>
      <c r="AI20" s="6"/>
      <c r="AM20" s="66" t="s">
        <v>15</v>
      </c>
      <c r="AN20" s="6"/>
      <c r="AO20" s="66" t="s">
        <v>304</v>
      </c>
      <c r="AQ20" s="163">
        <v>1500000</v>
      </c>
      <c r="AR20" s="1" t="s">
        <v>266</v>
      </c>
    </row>
    <row r="21" spans="2:41" ht="15.75" customHeight="1" thickBot="1">
      <c r="B21" s="219"/>
      <c r="C21" s="180" t="s">
        <v>301</v>
      </c>
      <c r="D21" s="169"/>
      <c r="E21" s="8"/>
      <c r="F21" s="8"/>
      <c r="G21" s="180" t="s">
        <v>335</v>
      </c>
      <c r="H21" s="169"/>
      <c r="I21" s="220"/>
      <c r="J21"/>
      <c r="K21" s="180" t="s">
        <v>346</v>
      </c>
      <c r="L21" s="168"/>
      <c r="M21" s="169"/>
      <c r="O21" s="100"/>
      <c r="P21" s="100"/>
      <c r="AB21" s="83" t="s">
        <v>218</v>
      </c>
      <c r="AC21" s="61"/>
      <c r="AD21" s="61"/>
      <c r="AH21" s="6"/>
      <c r="AI21" s="6"/>
      <c r="AM21" s="66" t="s">
        <v>36</v>
      </c>
      <c r="AN21" s="6"/>
      <c r="AO21" s="66" t="s">
        <v>348</v>
      </c>
    </row>
    <row r="22" spans="2:40" ht="15.75" customHeight="1" thickBot="1">
      <c r="B22" s="219"/>
      <c r="C22" s="181" t="s">
        <v>302</v>
      </c>
      <c r="D22" s="173"/>
      <c r="E22" s="8"/>
      <c r="F22" s="8"/>
      <c r="G22" s="208"/>
      <c r="H22" s="173"/>
      <c r="I22" s="220"/>
      <c r="J22"/>
      <c r="K22" s="181" t="s">
        <v>347</v>
      </c>
      <c r="L22" s="172"/>
      <c r="M22" s="173"/>
      <c r="O22" s="180" t="s">
        <v>305</v>
      </c>
      <c r="P22" s="168"/>
      <c r="Q22" s="168"/>
      <c r="R22" s="169"/>
      <c r="T22" s="180" t="s">
        <v>309</v>
      </c>
      <c r="U22" s="168"/>
      <c r="V22" s="169"/>
      <c r="X22" s="180" t="s">
        <v>312</v>
      </c>
      <c r="Y22" s="168"/>
      <c r="Z22" s="169"/>
      <c r="AB22" s="115"/>
      <c r="AC22" s="68" t="s">
        <v>8</v>
      </c>
      <c r="AD22" s="68" t="s">
        <v>324</v>
      </c>
      <c r="AH22" s="6"/>
      <c r="AI22" s="154"/>
      <c r="AM22" s="66" t="s">
        <v>0</v>
      </c>
      <c r="AN22" s="6"/>
    </row>
    <row r="23" spans="2:40" ht="15.75" customHeight="1">
      <c r="B23" s="219"/>
      <c r="C23" s="211" t="s">
        <v>11</v>
      </c>
      <c r="D23" s="212"/>
      <c r="E23" s="6"/>
      <c r="F23" s="8"/>
      <c r="G23" s="215" t="s">
        <v>11</v>
      </c>
      <c r="H23" s="212"/>
      <c r="I23" s="222"/>
      <c r="J23" s="229" t="s">
        <v>350</v>
      </c>
      <c r="K23" s="63" t="s">
        <v>11</v>
      </c>
      <c r="L23" s="64"/>
      <c r="M23" s="6"/>
      <c r="O23" s="195" t="s">
        <v>306</v>
      </c>
      <c r="P23" s="170"/>
      <c r="Q23" s="170"/>
      <c r="R23" s="171"/>
      <c r="T23" s="195" t="s">
        <v>310</v>
      </c>
      <c r="U23" s="170"/>
      <c r="V23" s="171"/>
      <c r="X23" s="195" t="s">
        <v>313</v>
      </c>
      <c r="Y23" s="170"/>
      <c r="Z23" s="171"/>
      <c r="AB23" s="67" t="s">
        <v>43</v>
      </c>
      <c r="AC23" s="204">
        <f>SUM(Calc_CC_FixedCost)</f>
        <v>0</v>
      </c>
      <c r="AD23" s="120" t="str">
        <f>IF(ISERROR(SUM(Calc_CC_FixedCost)),"--",IF(SUM(Calc_CC_FixedCost)=0,"--",SUM(Calc_CC_FixedCost)))</f>
        <v>--</v>
      </c>
      <c r="AM23" s="66" t="s">
        <v>16</v>
      </c>
      <c r="AN23" s="6"/>
    </row>
    <row r="24" spans="2:40" ht="15.75" customHeight="1">
      <c r="B24" s="219"/>
      <c r="C24" s="72"/>
      <c r="D24" s="68" t="s">
        <v>214</v>
      </c>
      <c r="E24" s="76"/>
      <c r="F24" s="8"/>
      <c r="G24" s="72"/>
      <c r="H24" s="68" t="s">
        <v>214</v>
      </c>
      <c r="I24" s="223"/>
      <c r="J24"/>
      <c r="K24" s="72"/>
      <c r="L24" s="68" t="s">
        <v>214</v>
      </c>
      <c r="M24" s="76"/>
      <c r="O24" s="195" t="s">
        <v>307</v>
      </c>
      <c r="P24" s="170"/>
      <c r="Q24" s="170"/>
      <c r="R24" s="171"/>
      <c r="T24" s="195" t="s">
        <v>311</v>
      </c>
      <c r="U24" s="170"/>
      <c r="V24" s="171"/>
      <c r="X24" s="195" t="s">
        <v>314</v>
      </c>
      <c r="Y24" s="170"/>
      <c r="Z24" s="171"/>
      <c r="AA24" s="75"/>
      <c r="AB24" s="67" t="s">
        <v>0</v>
      </c>
      <c r="AC24" s="204">
        <f>SUM(Calc_CC_VarCost)</f>
        <v>0</v>
      </c>
      <c r="AD24" s="120" t="str">
        <f>IF(ISERROR(SUM(Calc_CC_VarCost)),"--",IF(SUM(Calc_CC_VarCost)=0,"--",SUM(Calc_CC_VarCost)))</f>
        <v>--</v>
      </c>
      <c r="AM24" s="66" t="s">
        <v>37</v>
      </c>
      <c r="AN24" s="6"/>
    </row>
    <row r="25" spans="2:40" ht="15.75" customHeight="1" thickBot="1">
      <c r="B25" s="219"/>
      <c r="C25" s="67" t="s">
        <v>12</v>
      </c>
      <c r="D25" s="71">
        <f>UI_IN_BEFPos1</f>
        <v>0</v>
      </c>
      <c r="E25" s="13"/>
      <c r="F25" s="8"/>
      <c r="G25" s="67" t="s">
        <v>12</v>
      </c>
      <c r="H25" s="71" t="str">
        <f>Test_IN_BEFPos1</f>
        <v>Price</v>
      </c>
      <c r="I25" s="223"/>
      <c r="J25"/>
      <c r="K25" s="67" t="s">
        <v>12</v>
      </c>
      <c r="L25" s="70">
        <f>IF(SWITCH_INPUT=LUV_InputSwitch_UserInterface,Calc_UI_IN_BEFPos1,Calc_Test_IN_BEFPos1)</f>
        <v>0</v>
      </c>
      <c r="M25" s="13"/>
      <c r="O25" s="181" t="s">
        <v>308</v>
      </c>
      <c r="P25" s="172"/>
      <c r="Q25" s="172"/>
      <c r="R25" s="173"/>
      <c r="T25" s="196" t="s">
        <v>315</v>
      </c>
      <c r="U25" s="172"/>
      <c r="V25" s="173"/>
      <c r="X25" s="181" t="s">
        <v>316</v>
      </c>
      <c r="Y25" s="172"/>
      <c r="Z25" s="173"/>
      <c r="AA25" s="76"/>
      <c r="AB25" s="67" t="s">
        <v>216</v>
      </c>
      <c r="AC25" s="202">
        <f>Calc_Capacity</f>
        <v>20000</v>
      </c>
      <c r="AD25" s="114" t="str">
        <f>IF(ISERROR(Calc_IN_Plant),"--",Calc_Capacity)</f>
        <v>--</v>
      </c>
      <c r="AM25" s="66" t="s">
        <v>38</v>
      </c>
      <c r="AN25" s="6"/>
    </row>
    <row r="26" spans="2:40" ht="15.75" customHeight="1">
      <c r="B26" s="219"/>
      <c r="C26" s="65" t="s">
        <v>13</v>
      </c>
      <c r="D26" s="71">
        <f>UI_IN_BEFPos2</f>
        <v>0</v>
      </c>
      <c r="E26" s="79"/>
      <c r="F26" s="8"/>
      <c r="G26" s="65" t="s">
        <v>13</v>
      </c>
      <c r="H26" s="71" t="str">
        <f>Test_IN_BEFPos2</f>
        <v>Variable Cost</v>
      </c>
      <c r="I26" s="223"/>
      <c r="J26"/>
      <c r="K26" s="65" t="s">
        <v>13</v>
      </c>
      <c r="L26" s="70">
        <f>IF(SWITCH_INPUT=LUV_InputSwitch_UserInterface,Calc_UI_IN_BEFPos2,Calc_Test_IN_BEFPos2)</f>
        <v>0</v>
      </c>
      <c r="M26" s="79"/>
      <c r="O26" s="112" t="s">
        <v>63</v>
      </c>
      <c r="P26" s="112"/>
      <c r="Q26" s="112"/>
      <c r="R26" s="112"/>
      <c r="S26" s="138"/>
      <c r="T26" s="112" t="s">
        <v>270</v>
      </c>
      <c r="U26" s="112"/>
      <c r="V26" s="138"/>
      <c r="W26" s="138"/>
      <c r="X26" s="112" t="s">
        <v>271</v>
      </c>
      <c r="Y26" s="112"/>
      <c r="Z26" s="138"/>
      <c r="AA26" s="75"/>
      <c r="AB26" s="67" t="s">
        <v>10</v>
      </c>
      <c r="AC26" s="205" t="e">
        <f>Calc_BEVolume</f>
        <v>#DIV/0!</v>
      </c>
      <c r="AD26" s="86" t="str">
        <f>IF(ISERROR(Calc_BEVolume),"--",IF(Calc_BEVolume&lt;0,"N/A",Calc_BEVolume))</f>
        <v>--</v>
      </c>
      <c r="AM26" s="66" t="s">
        <v>43</v>
      </c>
      <c r="AN26" s="6"/>
    </row>
    <row r="27" spans="2:40" ht="15.75" customHeight="1">
      <c r="B27" s="219"/>
      <c r="C27" s="65" t="s">
        <v>14</v>
      </c>
      <c r="D27" s="71">
        <f>UI_IN_BEFPos3</f>
        <v>0</v>
      </c>
      <c r="E27" s="80"/>
      <c r="F27" s="8"/>
      <c r="G27" s="65" t="s">
        <v>14</v>
      </c>
      <c r="H27" s="71" t="str">
        <f>Test_IN_BEFPos3</f>
        <v>Fixed Cost</v>
      </c>
      <c r="I27" s="225"/>
      <c r="J27" s="229" t="s">
        <v>350</v>
      </c>
      <c r="K27" s="65" t="s">
        <v>14</v>
      </c>
      <c r="L27" s="70">
        <f>IF(SWITCH_INPUT=LUV_InputSwitch_UserInterface,Calc_UI_IN_BEFPos3,Calc_Test_IN_BEFPos3)</f>
        <v>0</v>
      </c>
      <c r="M27" s="80"/>
      <c r="N27" s="75"/>
      <c r="O27" s="62" t="s">
        <v>224</v>
      </c>
      <c r="P27" s="87"/>
      <c r="Q27" s="87"/>
      <c r="R27" s="87"/>
      <c r="T27" s="68" t="s">
        <v>227</v>
      </c>
      <c r="U27" s="68" t="s">
        <v>269</v>
      </c>
      <c r="X27" s="68" t="s">
        <v>227</v>
      </c>
      <c r="Y27" s="68" t="s">
        <v>269</v>
      </c>
      <c r="AA27" s="76"/>
      <c r="AB27" s="67" t="s">
        <v>217</v>
      </c>
      <c r="AC27" s="205" t="e">
        <f>Calc_BERevenue</f>
        <v>#DIV/0!</v>
      </c>
      <c r="AD27" s="86" t="str">
        <f>IF(ISERROR(Calc_BERevenue),"--",Calc_BERevenue)</f>
        <v>--</v>
      </c>
      <c r="AM27" s="66" t="s">
        <v>17</v>
      </c>
      <c r="AN27" s="6"/>
    </row>
    <row r="28" spans="2:40" ht="15.75" customHeight="1" thickBot="1">
      <c r="B28" s="219"/>
      <c r="C28" s="8"/>
      <c r="D28" s="8"/>
      <c r="E28" s="8"/>
      <c r="F28" s="75"/>
      <c r="G28" s="75"/>
      <c r="H28" s="75"/>
      <c r="I28" s="220"/>
      <c r="J28" s="75"/>
      <c r="N28" s="76"/>
      <c r="O28" s="115"/>
      <c r="P28" s="68" t="s">
        <v>7</v>
      </c>
      <c r="Q28" s="68" t="s">
        <v>51</v>
      </c>
      <c r="R28" s="68" t="s">
        <v>9</v>
      </c>
      <c r="T28" s="165">
        <f>Calc_IN_Price</f>
        <v>0</v>
      </c>
      <c r="U28" s="167" t="e">
        <f>LOOKUP(T28,LUV_Price_Value,LUV_Price_Analysis)</f>
        <v>#N/A</v>
      </c>
      <c r="X28" s="166">
        <f>Calc_IN_MktInvest</f>
        <v>0</v>
      </c>
      <c r="Y28" s="167" t="e">
        <f>LOOKUP(X28,LUV_MktInvest_Value,LUV_MktInvest_Analysis)</f>
        <v>#N/A</v>
      </c>
      <c r="AA28" s="8"/>
      <c r="AB28" s="67" t="s">
        <v>56</v>
      </c>
      <c r="AC28" s="205" t="e">
        <f>Calc_BEYears</f>
        <v>#DIV/0!</v>
      </c>
      <c r="AD28" s="86" t="str">
        <f>IF(ISERROR(Calc_BEYears),"--",Calc_BEYears)</f>
        <v>--</v>
      </c>
      <c r="AE28" s="75"/>
      <c r="AM28" s="66" t="s">
        <v>39</v>
      </c>
      <c r="AN28" s="6"/>
    </row>
    <row r="29" spans="2:40" ht="15.75" customHeight="1">
      <c r="B29" s="219"/>
      <c r="C29" s="180" t="s">
        <v>303</v>
      </c>
      <c r="D29" s="168"/>
      <c r="E29" s="169"/>
      <c r="G29" s="180" t="s">
        <v>335</v>
      </c>
      <c r="H29" s="169"/>
      <c r="I29" s="220"/>
      <c r="J29" s="76"/>
      <c r="K29" s="180" t="s">
        <v>357</v>
      </c>
      <c r="L29" s="168"/>
      <c r="M29" s="169"/>
      <c r="N29" s="75"/>
      <c r="O29" s="67" t="s">
        <v>3</v>
      </c>
      <c r="P29" s="140">
        <f>IF(Calc_IN_CC_Plant_Display=LUV_OptionButton_CC_Variable,Calc_CC_Plant,0)</f>
        <v>0</v>
      </c>
      <c r="Q29" s="140">
        <f>IF(Calc_IN_CC_Plant_Display=LUV_OptionButton_CC_Fixed,Calc_CC_Plant,0)</f>
        <v>0</v>
      </c>
      <c r="R29" s="119">
        <f>LOOKUP(Calc_IN_Plant_Display,LUV_Plant,LUV_Plant_Cost)</f>
        <v>0</v>
      </c>
      <c r="AA29" s="34"/>
      <c r="AE29" s="76"/>
      <c r="AM29" s="66" t="s">
        <v>19</v>
      </c>
      <c r="AN29" s="6"/>
    </row>
    <row r="30" spans="2:40" ht="15.75" customHeight="1" thickBot="1">
      <c r="B30" s="219"/>
      <c r="C30" s="181" t="s">
        <v>304</v>
      </c>
      <c r="D30" s="172"/>
      <c r="E30" s="173"/>
      <c r="G30" s="208"/>
      <c r="H30" s="173"/>
      <c r="I30" s="220"/>
      <c r="J30" s="75"/>
      <c r="K30" s="181" t="s">
        <v>356</v>
      </c>
      <c r="L30" s="172"/>
      <c r="M30" s="173"/>
      <c r="N30" s="76"/>
      <c r="O30" s="67" t="s">
        <v>50</v>
      </c>
      <c r="P30" s="140">
        <f>IF(Calc_IN_CC_MktInvest_Display=LUV_OptionButton_CC_Variable,Calc_CC_MktInvest,0)</f>
        <v>0</v>
      </c>
      <c r="Q30" s="140">
        <f>IF(Calc_IN_CC_MktInvest_Display=LUV_OptionButton_CC_Fixed,Calc_CC_MktInvest,0)</f>
        <v>0</v>
      </c>
      <c r="R30" s="119">
        <f>Calc_IN_MktInvest</f>
        <v>0</v>
      </c>
      <c r="AA30" s="155"/>
      <c r="AB30" s="150" t="s">
        <v>257</v>
      </c>
      <c r="AE30" s="75"/>
      <c r="AM30" s="66" t="s">
        <v>21</v>
      </c>
      <c r="AN30" s="6"/>
    </row>
    <row r="31" spans="2:37" ht="15.75" customHeight="1">
      <c r="B31" s="219"/>
      <c r="C31" s="211" t="s">
        <v>63</v>
      </c>
      <c r="D31" s="212"/>
      <c r="E31" s="212"/>
      <c r="G31" s="215" t="s">
        <v>63</v>
      </c>
      <c r="H31" s="212"/>
      <c r="I31" s="222"/>
      <c r="J31" s="229" t="s">
        <v>350</v>
      </c>
      <c r="K31" s="63" t="s">
        <v>63</v>
      </c>
      <c r="L31" s="64"/>
      <c r="M31" s="64"/>
      <c r="N31" s="8"/>
      <c r="O31" s="67" t="s">
        <v>1</v>
      </c>
      <c r="P31" s="140">
        <f>IF(Calc_IN_CC_Labor_Display=LUV_OptionButton_CC_Variable,Calc_CC_Labor,0)</f>
        <v>0</v>
      </c>
      <c r="Q31" s="140">
        <f>IF(Calc_IN_CC_Labor_Display=LUV_OptionButton_CC_Fixed,Calc_CC_Labor,0)</f>
        <v>0</v>
      </c>
      <c r="R31" s="119">
        <f>Calc_Labor</f>
        <v>100</v>
      </c>
      <c r="AA31" s="100"/>
      <c r="AB31" s="83" t="s">
        <v>210</v>
      </c>
      <c r="AC31" s="61"/>
      <c r="AD31" s="6"/>
      <c r="AE31" s="76"/>
      <c r="AF31" s="90" t="s">
        <v>29</v>
      </c>
      <c r="AG31" s="90"/>
      <c r="AH31" s="90"/>
      <c r="AI31" s="90"/>
      <c r="AJ31" s="90"/>
      <c r="AK31" s="90"/>
    </row>
    <row r="32" spans="2:37" ht="15.75" customHeight="1">
      <c r="B32" s="219"/>
      <c r="C32" s="72"/>
      <c r="D32" s="68" t="s">
        <v>325</v>
      </c>
      <c r="E32" s="206" t="s">
        <v>326</v>
      </c>
      <c r="G32" s="72"/>
      <c r="H32" s="68" t="s">
        <v>325</v>
      </c>
      <c r="I32" s="223"/>
      <c r="J32" s="8"/>
      <c r="K32" s="72"/>
      <c r="L32" s="68" t="s">
        <v>325</v>
      </c>
      <c r="M32" s="68" t="s">
        <v>211</v>
      </c>
      <c r="O32" s="67" t="s">
        <v>2</v>
      </c>
      <c r="P32" s="140">
        <f>IF(Calc_IN_CC_RawMat_Display=LUV_OptionButton_CC_Variable,Calc_CC_RawMat,0)</f>
        <v>0</v>
      </c>
      <c r="Q32" s="140">
        <f>IF(Calc_IN_CC_RawMat_Display=LUV_OptionButton_CC_Fixed,Calc_CC_RawMat,0)</f>
        <v>0</v>
      </c>
      <c r="R32" s="137">
        <f>Calc_RawMat</f>
        <v>260</v>
      </c>
      <c r="S32" s="75"/>
      <c r="V32" s="75"/>
      <c r="W32" s="75"/>
      <c r="X32" s="75"/>
      <c r="Y32" s="75"/>
      <c r="Z32" s="75"/>
      <c r="AA32" s="100"/>
      <c r="AB32" s="115"/>
      <c r="AC32" s="68" t="s">
        <v>8</v>
      </c>
      <c r="AD32" s="76"/>
      <c r="AE32" s="4"/>
      <c r="AF32" s="156"/>
      <c r="AG32" s="164"/>
      <c r="AH32" s="99"/>
      <c r="AI32" s="99" t="s">
        <v>30</v>
      </c>
      <c r="AJ32" s="99"/>
      <c r="AK32" s="95"/>
    </row>
    <row r="33" spans="2:37" ht="15.75" customHeight="1">
      <c r="B33" s="219"/>
      <c r="C33" s="67" t="s">
        <v>3</v>
      </c>
      <c r="D33" s="70" t="e">
        <v>#N/A</v>
      </c>
      <c r="E33" s="207" t="e">
        <v>#N/A</v>
      </c>
      <c r="G33" s="67" t="s">
        <v>3</v>
      </c>
      <c r="H33" s="70" t="b">
        <f>Test_IN_CC_Plant</f>
        <v>1</v>
      </c>
      <c r="I33" s="223"/>
      <c r="J33"/>
      <c r="K33" s="67" t="s">
        <v>3</v>
      </c>
      <c r="L33" s="70" t="e">
        <f>IF(SWITCH_INPUT=LUV_InputSwitch_UserInterface,Calc_UI_IN_CC_Plant,Calc_Test_IN_CC_Plant)</f>
        <v>#N/A</v>
      </c>
      <c r="M33" s="82" t="str">
        <f>IF(ISNA(Calc_IN_CC_Plant),"--None Selected--",LOOKUP(Calc_IN_CC_Plant,LUV_OptionButton_Value,LUV_OptionButton_CC))</f>
        <v>--None Selected--</v>
      </c>
      <c r="O33" s="67" t="s">
        <v>4</v>
      </c>
      <c r="P33" s="140">
        <f>IF(Calc_IN_CC_Machinery_Display=LUV_OptionButton_CC_Variable,Calc_CC_Machinery,0)</f>
        <v>0</v>
      </c>
      <c r="Q33" s="140">
        <f>IF(Calc_IN_CC_Machinery_Display=LUV_OptionButton_CC_Fixed,Calc_CC_Machinery,0)</f>
        <v>0</v>
      </c>
      <c r="R33" s="139">
        <f>Calc_Machinery</f>
        <v>24000000</v>
      </c>
      <c r="S33" s="76"/>
      <c r="T33" s="76"/>
      <c r="U33" s="76"/>
      <c r="V33" s="76"/>
      <c r="W33" s="76"/>
      <c r="X33" s="76"/>
      <c r="Y33" s="76"/>
      <c r="Z33" s="76"/>
      <c r="AA33" s="3"/>
      <c r="AB33" s="65" t="s">
        <v>258</v>
      </c>
      <c r="AC33" s="114" t="e">
        <f>Calc_Capacity&gt;=(Calc_BEVolume/2)</f>
        <v>#DIV/0!</v>
      </c>
      <c r="AF33" s="103"/>
      <c r="AG33" s="96">
        <f>0</f>
        <v>0</v>
      </c>
      <c r="AH33" s="96" t="s">
        <v>31</v>
      </c>
      <c r="AI33" s="96" t="s">
        <v>26</v>
      </c>
      <c r="AJ33" s="96" t="s">
        <v>32</v>
      </c>
      <c r="AK33" s="96" t="s">
        <v>33</v>
      </c>
    </row>
    <row r="34" spans="2:37" ht="15.75" customHeight="1">
      <c r="B34" s="219"/>
      <c r="C34" s="67" t="s">
        <v>50</v>
      </c>
      <c r="D34" s="70" t="e">
        <v>#N/A</v>
      </c>
      <c r="E34" s="207" t="e">
        <v>#N/A</v>
      </c>
      <c r="G34" s="67" t="s">
        <v>50</v>
      </c>
      <c r="H34" s="70" t="b">
        <f>Test_IN_CC_MktInvest</f>
        <v>1</v>
      </c>
      <c r="I34" s="223"/>
      <c r="J34"/>
      <c r="K34" s="67" t="s">
        <v>50</v>
      </c>
      <c r="L34" s="70" t="e">
        <f>IF(SWITCH_INPUT=LUV_InputSwitch_UserInterface,Calc_UI_IN_CC_MktInvest,Calc_Test_IN_CC_MktInvest)</f>
        <v>#N/A</v>
      </c>
      <c r="M34" s="82" t="str">
        <f>IF(ISNA(Calc_IN_CC_MktInvest),"--None Selected--",LOOKUP(Calc_IN_CC_MktInvest,LUV_OptionButton_Value,LUV_OptionButton_CC))</f>
        <v>--None Selected--</v>
      </c>
      <c r="O34" s="67" t="s">
        <v>5</v>
      </c>
      <c r="P34" s="140">
        <f>IF(Calc_IN_CC_Tools_Display=LUV_OptionButton_CC_Variable,Calc_CC_Tools,0)</f>
        <v>0</v>
      </c>
      <c r="Q34" s="140">
        <f>IF(Calc_IN_CC_Tools_Display=LUV_OptionButton_CC_Fixed,Calc_CC_Tools,0)</f>
        <v>0</v>
      </c>
      <c r="R34" s="139">
        <f>Calc_Tools</f>
        <v>2100000</v>
      </c>
      <c r="S34" s="75"/>
      <c r="T34" s="75"/>
      <c r="U34" s="75"/>
      <c r="V34" s="75"/>
      <c r="W34" s="75"/>
      <c r="X34" s="75"/>
      <c r="Y34" s="75"/>
      <c r="Z34" s="75"/>
      <c r="AA34" s="3"/>
      <c r="AB34" s="65" t="s">
        <v>259</v>
      </c>
      <c r="AC34" s="114" t="e">
        <f>Calc_Demand&gt;=(Calc_BEVolume/2)</f>
        <v>#N/A</v>
      </c>
      <c r="AF34" s="131" t="s">
        <v>261</v>
      </c>
      <c r="AG34" s="96">
        <f>0</f>
        <v>0</v>
      </c>
      <c r="AH34" s="157" t="e">
        <f>AI34-0.1</f>
        <v>#DIV/0!</v>
      </c>
      <c r="AI34" s="157" t="e">
        <f>Calc_BEVolume</f>
        <v>#DIV/0!</v>
      </c>
      <c r="AJ34" s="157" t="e">
        <f>AI34+0.1</f>
        <v>#DIV/0!</v>
      </c>
      <c r="AK34" s="157" t="e">
        <f>AI34*1.5</f>
        <v>#DIV/0!</v>
      </c>
    </row>
    <row r="35" spans="2:37" ht="15.75" customHeight="1">
      <c r="B35" s="219"/>
      <c r="C35" s="67" t="s">
        <v>1</v>
      </c>
      <c r="D35" s="70" t="e">
        <v>#N/A</v>
      </c>
      <c r="E35" s="207" t="e">
        <v>#N/A</v>
      </c>
      <c r="G35" s="67" t="s">
        <v>1</v>
      </c>
      <c r="H35" s="70" t="b">
        <f>Test_IN_CC_Labor</f>
        <v>0</v>
      </c>
      <c r="I35" s="223"/>
      <c r="J35" s="229" t="s">
        <v>350</v>
      </c>
      <c r="K35" s="67" t="s">
        <v>1</v>
      </c>
      <c r="L35" s="70" t="e">
        <f>IF(SWITCH_INPUT=LUV_InputSwitch_UserInterface,Calc_UI_IN_CC_Labor,Calc_Test_IN_CC_Labor)</f>
        <v>#N/A</v>
      </c>
      <c r="M35" s="82" t="str">
        <f>IF(ISNA(Calc_IN_CC_Labor),"--None Selected--",LOOKUP(Calc_IN_CC_Labor,LUV_OptionButton_Value,LUV_OptionButton_CC))</f>
        <v>--None Selected--</v>
      </c>
      <c r="O35" s="67" t="s">
        <v>6</v>
      </c>
      <c r="P35" s="140">
        <f>IF(Calc_IN_CC_Outsource_Display=LUV_OptionButton_CC_Variable,Calc_CC_Outsource,0)</f>
        <v>0</v>
      </c>
      <c r="Q35" s="140">
        <f>IF(Calc_IN_CC_Outsource_Display=LUV_OptionButton_CC_Fixed,Calc_CC_Outsource,0)</f>
        <v>0</v>
      </c>
      <c r="R35" s="139">
        <f>Calc_OutsourceParts</f>
        <v>0</v>
      </c>
      <c r="S35" s="76"/>
      <c r="T35" s="76"/>
      <c r="U35" s="76"/>
      <c r="V35" s="76"/>
      <c r="W35" s="76"/>
      <c r="X35" s="76"/>
      <c r="Y35" s="76"/>
      <c r="Z35" s="76"/>
      <c r="AA35" s="3"/>
      <c r="AB35" s="65" t="s">
        <v>34</v>
      </c>
      <c r="AC35" s="114" t="e">
        <f>Calc_Capacity&gt;Calc_Demand</f>
        <v>#N/A</v>
      </c>
      <c r="AF35" s="96" t="s">
        <v>43</v>
      </c>
      <c r="AG35" s="2">
        <f>Calc_FixedCost</f>
        <v>0</v>
      </c>
      <c r="AH35" s="2">
        <f>Calc_FixedCost</f>
        <v>0</v>
      </c>
      <c r="AI35" s="2">
        <f>Calc_FixedCost</f>
        <v>0</v>
      </c>
      <c r="AJ35" s="2">
        <f>Calc_FixedCost</f>
        <v>0</v>
      </c>
      <c r="AK35" s="2">
        <f>Calc_FixedCost</f>
        <v>0</v>
      </c>
    </row>
    <row r="36" spans="2:37" ht="15.75" customHeight="1" thickBot="1">
      <c r="B36" s="219"/>
      <c r="C36" s="67" t="s">
        <v>2</v>
      </c>
      <c r="D36" s="70" t="e">
        <v>#N/A</v>
      </c>
      <c r="E36" s="207" t="e">
        <v>#N/A</v>
      </c>
      <c r="G36" s="67" t="s">
        <v>2</v>
      </c>
      <c r="H36" s="70" t="b">
        <f>Test_IN_CC_RawMat</f>
        <v>0</v>
      </c>
      <c r="I36" s="223"/>
      <c r="J36"/>
      <c r="K36" s="67" t="s">
        <v>2</v>
      </c>
      <c r="L36" s="70" t="e">
        <f>IF(SWITCH_INPUT=LUV_InputSwitch_UserInterface,Calc_UI_IN_CC_RawMat,Calc_Test_IN_CC_RawMat)</f>
        <v>#N/A</v>
      </c>
      <c r="M36" s="82" t="str">
        <f>IF(ISNA(Calc_IN_CC_RawMat),"--None Selected--",LOOKUP(Calc_IN_CC_RawMat,LUV_OptionButton_Value,LUV_OptionButton_CC))</f>
        <v>--None Selected--</v>
      </c>
      <c r="O36" s="8"/>
      <c r="P36" s="8"/>
      <c r="Q36" s="10"/>
      <c r="R36" s="8"/>
      <c r="S36" s="8"/>
      <c r="T36" s="8"/>
      <c r="U36" s="8"/>
      <c r="V36" s="8"/>
      <c r="W36" s="8"/>
      <c r="X36" s="8"/>
      <c r="Y36" s="8"/>
      <c r="Z36" s="8"/>
      <c r="AA36" s="3"/>
      <c r="AB36" s="65" t="s">
        <v>260</v>
      </c>
      <c r="AC36" s="114" t="b">
        <f>Calc_IN_Price&gt;Calc_OUT_KPI_VarCost</f>
        <v>0</v>
      </c>
      <c r="AF36" s="96" t="s">
        <v>0</v>
      </c>
      <c r="AG36" s="2">
        <f>Calc_VarCost*AG34</f>
        <v>0</v>
      </c>
      <c r="AH36" s="2" t="e">
        <f>Calc_VarCost*AH34</f>
        <v>#DIV/0!</v>
      </c>
      <c r="AI36" s="2" t="e">
        <f>Calc_VarCost*AI34</f>
        <v>#DIV/0!</v>
      </c>
      <c r="AJ36" s="2" t="e">
        <f>Calc_VarCost*AJ34</f>
        <v>#DIV/0!</v>
      </c>
      <c r="AK36" s="2" t="e">
        <f>Calc_VarCost*AK34</f>
        <v>#DIV/0!</v>
      </c>
    </row>
    <row r="37" spans="2:37" ht="15.75" customHeight="1" thickBot="1">
      <c r="B37" s="219"/>
      <c r="C37" s="67" t="s">
        <v>4</v>
      </c>
      <c r="D37" s="70" t="e">
        <v>#N/A</v>
      </c>
      <c r="E37" s="207" t="e">
        <v>#N/A</v>
      </c>
      <c r="G37" s="67" t="s">
        <v>4</v>
      </c>
      <c r="H37" s="70" t="b">
        <f>Test_IN_CC_Machinery</f>
        <v>1</v>
      </c>
      <c r="I37" s="223"/>
      <c r="J37"/>
      <c r="K37" s="67" t="s">
        <v>4</v>
      </c>
      <c r="L37" s="70" t="e">
        <f>IF(SWITCH_INPUT=LUV_InputSwitch_UserInterface,Calc_UI_IN_CC_Machinery,Calc_Test_IN_CC_Machinery)</f>
        <v>#N/A</v>
      </c>
      <c r="M37" s="82" t="str">
        <f>IF(ISNA(Calc_IN_CC_Machinery),"--None Selected--",LOOKUP(Calc_IN_CC_Machinery,LUV_OptionButton_Value,LUV_OptionButton_CC))</f>
        <v>--None Selected--</v>
      </c>
      <c r="O37" s="194" t="s">
        <v>317</v>
      </c>
      <c r="P37" s="188"/>
      <c r="Q37" s="188"/>
      <c r="R37" s="188"/>
      <c r="S37" s="188"/>
      <c r="T37" s="188"/>
      <c r="U37" s="188"/>
      <c r="V37" s="188"/>
      <c r="W37" s="188"/>
      <c r="X37" s="188"/>
      <c r="Y37" s="188"/>
      <c r="Z37" s="189"/>
      <c r="AF37" s="96" t="s">
        <v>38</v>
      </c>
      <c r="AG37" s="2">
        <f>SUM(AG35:AG36)</f>
        <v>0</v>
      </c>
      <c r="AH37" s="2" t="e">
        <f>SUM(AH35:AH36)</f>
        <v>#DIV/0!</v>
      </c>
      <c r="AI37" s="2" t="e">
        <f>SUM(AI35:AI36)</f>
        <v>#DIV/0!</v>
      </c>
      <c r="AJ37" s="2" t="e">
        <f>SUM(AJ35:AJ36)</f>
        <v>#DIV/0!</v>
      </c>
      <c r="AK37" s="2" t="e">
        <f>SUM(AK35:AK36)</f>
        <v>#DIV/0!</v>
      </c>
    </row>
    <row r="38" spans="2:37" ht="15.75" customHeight="1">
      <c r="B38" s="219"/>
      <c r="C38" s="67" t="s">
        <v>5</v>
      </c>
      <c r="D38" s="70" t="e">
        <v>#N/A</v>
      </c>
      <c r="E38" s="207" t="e">
        <v>#N/A</v>
      </c>
      <c r="G38" s="67" t="s">
        <v>5</v>
      </c>
      <c r="H38" s="70" t="b">
        <f>Test_IN_CC_Tools</f>
        <v>1</v>
      </c>
      <c r="I38" s="223"/>
      <c r="J38"/>
      <c r="K38" s="67" t="s">
        <v>5</v>
      </c>
      <c r="L38" s="70" t="e">
        <f>IF(SWITCH_INPUT=LUV_InputSwitch_UserInterface,Calc_UI_IN_CC_Tools,Calc_Test_IN_CC_Tools)</f>
        <v>#N/A</v>
      </c>
      <c r="M38" s="82" t="str">
        <f>IF(ISNA(Calc_IN_CC_Tools),"--None Selected--",LOOKUP(Calc_IN_CC_Tools,LUV_OptionButton_Value,LUV_OptionButton_CC))</f>
        <v>--None Selected--</v>
      </c>
      <c r="O38" s="112" t="s">
        <v>228</v>
      </c>
      <c r="P38" s="112"/>
      <c r="Q38" s="112"/>
      <c r="R38" s="112"/>
      <c r="S38" s="112"/>
      <c r="T38" s="112"/>
      <c r="U38" s="112"/>
      <c r="V38" s="112"/>
      <c r="W38" s="112"/>
      <c r="X38" s="112"/>
      <c r="Y38" s="112"/>
      <c r="Z38" s="112"/>
      <c r="AF38" s="96" t="s">
        <v>36</v>
      </c>
      <c r="AG38" s="2">
        <f>Calc_IN_Price*AG34</f>
        <v>0</v>
      </c>
      <c r="AH38" s="2" t="e">
        <f>Calc_IN_Price*AH34</f>
        <v>#DIV/0!</v>
      </c>
      <c r="AI38" s="2" t="e">
        <f>Calc_IN_Price*AI34</f>
        <v>#DIV/0!</v>
      </c>
      <c r="AJ38" s="2" t="e">
        <f>Calc_IN_Price*AJ34</f>
        <v>#DIV/0!</v>
      </c>
      <c r="AK38" s="2" t="e">
        <f>Calc_IN_Price*AK34</f>
        <v>#DIV/0!</v>
      </c>
    </row>
    <row r="39" spans="2:37" ht="15.75" customHeight="1">
      <c r="B39" s="219"/>
      <c r="C39" s="67" t="s">
        <v>6</v>
      </c>
      <c r="D39" s="70" t="e">
        <v>#N/A</v>
      </c>
      <c r="E39" s="207" t="e">
        <v>#N/A</v>
      </c>
      <c r="G39" s="67" t="s">
        <v>6</v>
      </c>
      <c r="H39" s="70" t="b">
        <f>Test_IN_CC_Outsource</f>
        <v>0</v>
      </c>
      <c r="I39" s="220"/>
      <c r="J39" s="229" t="s">
        <v>350</v>
      </c>
      <c r="K39" s="67" t="s">
        <v>6</v>
      </c>
      <c r="L39" s="70" t="e">
        <f>IF(SWITCH_INPUT=LUV_InputSwitch_UserInterface,Calc_UI_IN_CC_Outsource,Calc_Test_IN_CC_Outsource)</f>
        <v>#N/A</v>
      </c>
      <c r="M39" s="82" t="str">
        <f>IF(ISNA(Calc_IN_CC_Outsource),"--None Selected--",LOOKUP(Calc_IN_CC_Outsource,LUV_OptionButton_Value,LUV_OptionButton_CC))</f>
        <v>--None Selected--</v>
      </c>
      <c r="O39" s="62" t="s">
        <v>229</v>
      </c>
      <c r="P39" s="87"/>
      <c r="Q39" s="87"/>
      <c r="R39" s="87"/>
      <c r="S39" s="87"/>
      <c r="T39" s="87"/>
      <c r="U39" s="87"/>
      <c r="V39" s="34"/>
      <c r="W39" s="113" t="s">
        <v>232</v>
      </c>
      <c r="X39" s="89"/>
      <c r="Y39" s="90"/>
      <c r="Z39" s="90"/>
      <c r="AA39" s="8"/>
      <c r="AF39" s="96" t="s">
        <v>42</v>
      </c>
      <c r="AG39" s="2">
        <f>0</f>
        <v>0</v>
      </c>
      <c r="AH39" s="2">
        <f>0</f>
        <v>0</v>
      </c>
      <c r="AI39" s="2" t="e">
        <f>AI38</f>
        <v>#DIV/0!</v>
      </c>
      <c r="AJ39" s="2">
        <f>0</f>
        <v>0</v>
      </c>
      <c r="AK39" s="2">
        <f>0</f>
        <v>0</v>
      </c>
    </row>
    <row r="40" spans="2:37" ht="15.75" customHeight="1" thickBot="1">
      <c r="B40" s="226"/>
      <c r="C40" s="227"/>
      <c r="D40" s="227"/>
      <c r="E40" s="227"/>
      <c r="F40" s="227"/>
      <c r="G40" s="227"/>
      <c r="H40" s="227"/>
      <c r="I40" s="228"/>
      <c r="J40"/>
      <c r="O40" s="101"/>
      <c r="P40" s="102"/>
      <c r="Q40" s="91" t="s">
        <v>23</v>
      </c>
      <c r="R40" s="92"/>
      <c r="S40" s="92"/>
      <c r="T40" s="92"/>
      <c r="U40" s="93"/>
      <c r="V40" s="4"/>
      <c r="W40" s="101"/>
      <c r="X40" s="102"/>
      <c r="Y40" s="91" t="s">
        <v>23</v>
      </c>
      <c r="Z40" s="93"/>
      <c r="AI40" s="8"/>
      <c r="AJ40" s="8"/>
      <c r="AK40" s="8"/>
    </row>
    <row r="41" spans="15:26" ht="15.75" customHeight="1">
      <c r="O41" s="103"/>
      <c r="P41" s="104"/>
      <c r="Q41" s="96">
        <v>1</v>
      </c>
      <c r="R41" s="96">
        <v>2</v>
      </c>
      <c r="S41" s="96">
        <v>3</v>
      </c>
      <c r="T41" s="96">
        <v>4</v>
      </c>
      <c r="U41" s="96">
        <v>5</v>
      </c>
      <c r="V41" s="100" t="s">
        <v>25</v>
      </c>
      <c r="W41" s="103"/>
      <c r="X41" s="104"/>
      <c r="Y41" s="96">
        <f>MATCH(Calc_IN_MfgAuto,LUV_LaborMatrix_MfgAuto)</f>
        <v>1</v>
      </c>
      <c r="Z41" s="96">
        <f>IF(Y41&lt;5,Y41+1,Y41)</f>
        <v>2</v>
      </c>
    </row>
    <row r="42" spans="15:26" ht="15.75" customHeight="1">
      <c r="O42" s="122" t="s">
        <v>20</v>
      </c>
      <c r="P42" s="95"/>
      <c r="Q42" s="97">
        <v>0</v>
      </c>
      <c r="R42" s="97">
        <v>20</v>
      </c>
      <c r="S42" s="97">
        <v>50</v>
      </c>
      <c r="T42" s="97">
        <v>80</v>
      </c>
      <c r="U42" s="97">
        <v>100</v>
      </c>
      <c r="V42" s="100" t="s">
        <v>221</v>
      </c>
      <c r="W42" s="94" t="s">
        <v>20</v>
      </c>
      <c r="X42" s="99"/>
      <c r="Y42" s="96">
        <f>LOOKUP(Y41,LUV_LaborMatrix_MfgAuto_Normalized,LUV_LaborMatrix_MfgAuto)</f>
        <v>0</v>
      </c>
      <c r="Z42" s="96">
        <f>LOOKUP(Z41,LUV_LaborMatrix_MfgAuto_Normalized,LUV_LaborMatrix_MfgAuto)</f>
        <v>20</v>
      </c>
    </row>
    <row r="43" spans="15:26" ht="15.75" customHeight="1">
      <c r="O43" s="96">
        <v>1</v>
      </c>
      <c r="P43" s="96">
        <v>0</v>
      </c>
      <c r="Q43" s="98">
        <v>100</v>
      </c>
      <c r="R43" s="98">
        <v>87</v>
      </c>
      <c r="S43" s="98">
        <v>74</v>
      </c>
      <c r="T43" s="98">
        <v>57</v>
      </c>
      <c r="U43" s="98">
        <v>42</v>
      </c>
      <c r="V43" s="3"/>
      <c r="W43" s="96">
        <f>MATCH(Calc_IN_Outsource,LUV_LaborMatrix_Outsource)</f>
        <v>1</v>
      </c>
      <c r="X43" s="96">
        <f>LOOKUP(W43,LUV_LaborMatrix_Outsource_Normalized,LUV_LaborMatrix_Outsource)</f>
        <v>0</v>
      </c>
      <c r="Y43" s="98">
        <f ca="1">OFFSET(OFFSET_LaborMatrix,2+$W$43,1+$Y$41)</f>
        <v>100</v>
      </c>
      <c r="Z43" s="98">
        <f ca="1">OFFSET(OFFSET_LaborMatrix,2+$W$43,1+$Z$41)</f>
        <v>87</v>
      </c>
    </row>
    <row r="44" spans="15:26" ht="15.75" customHeight="1">
      <c r="O44" s="96">
        <v>2</v>
      </c>
      <c r="P44" s="96">
        <v>20</v>
      </c>
      <c r="Q44" s="98">
        <v>85</v>
      </c>
      <c r="R44" s="98">
        <v>64</v>
      </c>
      <c r="S44" s="98">
        <v>50</v>
      </c>
      <c r="T44" s="98">
        <v>41</v>
      </c>
      <c r="U44" s="98">
        <v>36</v>
      </c>
      <c r="V44" s="3"/>
      <c r="W44" s="96">
        <f>IF(W43&lt;5,W43+1,W43)</f>
        <v>2</v>
      </c>
      <c r="X44" s="96">
        <f>LOOKUP(W44,LUV_LaborMatrix_Outsource_Normalized,LUV_LaborMatrix_Outsource)</f>
        <v>20</v>
      </c>
      <c r="Y44" s="98">
        <f ca="1">OFFSET(OFFSET_LaborMatrix,2+$W$44,1+$Y$41)</f>
        <v>85</v>
      </c>
      <c r="Z44" s="98">
        <f ca="1">OFFSET(OFFSET_LaborMatrix,2+$W$44,1+$Z$41)</f>
        <v>64</v>
      </c>
    </row>
    <row r="45" spans="15:26" ht="15.75" customHeight="1">
      <c r="O45" s="96">
        <v>3</v>
      </c>
      <c r="P45" s="96">
        <v>50</v>
      </c>
      <c r="Q45" s="98">
        <v>50</v>
      </c>
      <c r="R45" s="98">
        <v>42</v>
      </c>
      <c r="S45" s="98">
        <v>33</v>
      </c>
      <c r="T45" s="98">
        <v>27</v>
      </c>
      <c r="U45" s="98">
        <v>24</v>
      </c>
      <c r="V45" s="3"/>
      <c r="W45" s="88" t="s">
        <v>234</v>
      </c>
      <c r="X45" s="88"/>
      <c r="Y45" s="88"/>
      <c r="Z45" s="88"/>
    </row>
    <row r="46" spans="15:26" ht="15.75" customHeight="1">
      <c r="O46" s="96">
        <v>4</v>
      </c>
      <c r="P46" s="96">
        <v>80</v>
      </c>
      <c r="Q46" s="98">
        <v>28</v>
      </c>
      <c r="R46" s="98">
        <v>21</v>
      </c>
      <c r="S46" s="98">
        <v>15</v>
      </c>
      <c r="T46" s="98">
        <v>13</v>
      </c>
      <c r="U46" s="98">
        <v>11</v>
      </c>
      <c r="V46" s="3"/>
      <c r="W46" s="105" t="s">
        <v>230</v>
      </c>
      <c r="X46" s="93"/>
      <c r="Y46" s="109">
        <f>1-Z46</f>
        <v>1</v>
      </c>
      <c r="Z46" s="109">
        <f>IF(Calc_LocalLaborMatrix_MfgAuto_UpperBound=Calc_LocalLaborMatrix_MfgAuto_LowerBound,Calc_IN_MfgAuto-Calc_LocalLaborMatrix_MfgAuto_LowerBound,(Calc_IN_MfgAuto-Calc_LocalLaborMatrix_MfgAuto_LowerBound)/(Calc_LocalLaborMatrix_MfgAuto_UpperBound-Calc_LocalLaborMatrix_MfgAuto_LowerBound))</f>
        <v>0</v>
      </c>
    </row>
    <row r="47" spans="15:26" ht="15.75" customHeight="1">
      <c r="O47" s="96">
        <v>5</v>
      </c>
      <c r="P47" s="96">
        <v>100</v>
      </c>
      <c r="Q47" s="98">
        <v>0</v>
      </c>
      <c r="R47" s="98">
        <v>0</v>
      </c>
      <c r="S47" s="98">
        <v>0</v>
      </c>
      <c r="T47" s="98">
        <v>0</v>
      </c>
      <c r="U47" s="98">
        <v>0</v>
      </c>
      <c r="V47" s="6"/>
      <c r="W47" s="126" t="s">
        <v>231</v>
      </c>
      <c r="X47" s="108"/>
      <c r="Y47" s="109">
        <f>1-Z47</f>
        <v>1</v>
      </c>
      <c r="Z47" s="110">
        <f>IF(Calc_LocalLaborMatrix_Outsource_UpperBound=Calc_LocalLaborMatrix_Outsource_LowerBound,Calc_IN_Outsource-Calc_LocalLaborMatrix_Outsource_LowerBound,(Calc_IN_Outsource-Calc_LocalLaborMatrix_Outsource_LowerBound)/(Calc_LocalLaborMatrix_Outsource_UpperBound-Calc_LocalLaborMatrix_Outsource_LowerBound))</f>
        <v>0</v>
      </c>
    </row>
    <row r="48" spans="15:26" ht="15.75" customHeight="1">
      <c r="O48" s="100" t="s">
        <v>25</v>
      </c>
      <c r="P48" s="100" t="s">
        <v>236</v>
      </c>
      <c r="Q48" s="3"/>
      <c r="R48" s="3"/>
      <c r="S48" s="3"/>
      <c r="T48" s="3"/>
      <c r="U48" s="3"/>
      <c r="V48" s="8"/>
      <c r="W48" s="78" t="s">
        <v>1</v>
      </c>
      <c r="X48" s="127"/>
      <c r="Y48" s="107"/>
      <c r="Z48" s="129">
        <f>ROUNDUP(((Z47*((Z46*Z44)+(Y46*Y44)))+(Y47*((Z46*Z43)+(Y46*Y43)))),0)</f>
        <v>100</v>
      </c>
    </row>
    <row r="49" spans="15:26" ht="15.75" customHeight="1" thickBot="1">
      <c r="O49" s="4"/>
      <c r="P49" s="4"/>
      <c r="Q49" s="3"/>
      <c r="R49" s="3"/>
      <c r="S49" s="3"/>
      <c r="T49" s="3"/>
      <c r="U49" s="3"/>
      <c r="V49" s="8"/>
      <c r="W49" s="123"/>
      <c r="X49" s="124"/>
      <c r="Y49" s="124"/>
      <c r="Z49" s="125"/>
    </row>
    <row r="50" spans="15:26" ht="15.75" customHeight="1" thickBot="1">
      <c r="O50" s="200" t="s">
        <v>319</v>
      </c>
      <c r="P50" s="197"/>
      <c r="Q50" s="198"/>
      <c r="R50" s="198"/>
      <c r="S50" s="198"/>
      <c r="T50" s="199"/>
      <c r="U50" s="198"/>
      <c r="V50" s="188"/>
      <c r="W50" s="201"/>
      <c r="X50" s="124"/>
      <c r="Y50" s="124"/>
      <c r="Z50" s="125"/>
    </row>
    <row r="51" spans="15:26" ht="15.75" customHeight="1">
      <c r="O51" s="112" t="s">
        <v>237</v>
      </c>
      <c r="P51" s="112"/>
      <c r="Q51" s="112"/>
      <c r="R51" s="112"/>
      <c r="S51" s="112"/>
      <c r="T51" s="112"/>
      <c r="U51" s="138"/>
      <c r="V51" s="138"/>
      <c r="W51" s="138"/>
      <c r="X51" s="138"/>
      <c r="Y51" s="138"/>
      <c r="Z51" s="138"/>
    </row>
    <row r="52" spans="15:26" ht="15.75" customHeight="1">
      <c r="O52" s="113" t="s">
        <v>233</v>
      </c>
      <c r="P52" s="130"/>
      <c r="Q52" s="130"/>
      <c r="R52" s="3"/>
      <c r="S52" s="88" t="s">
        <v>235</v>
      </c>
      <c r="T52" s="88"/>
      <c r="U52" s="3"/>
      <c r="V52" s="8"/>
      <c r="W52" s="123"/>
      <c r="X52" s="124"/>
      <c r="Y52" s="124"/>
      <c r="Z52" s="125"/>
    </row>
    <row r="53" spans="15:26" ht="15.75" customHeight="1">
      <c r="O53" s="134" t="s">
        <v>20</v>
      </c>
      <c r="P53" s="95"/>
      <c r="Q53" s="132" t="s">
        <v>9</v>
      </c>
      <c r="S53" s="134" t="s">
        <v>20</v>
      </c>
      <c r="T53" s="95"/>
      <c r="U53" s="3"/>
      <c r="V53" s="8"/>
      <c r="W53" s="123"/>
      <c r="X53" s="124"/>
      <c r="Y53" s="124"/>
      <c r="Z53" s="125"/>
    </row>
    <row r="54" spans="15:26" ht="15.75" customHeight="1">
      <c r="O54" s="133">
        <v>1</v>
      </c>
      <c r="P54" s="133">
        <v>0</v>
      </c>
      <c r="Q54" s="98">
        <v>260</v>
      </c>
      <c r="S54" s="96">
        <f>MATCH(Calc_IN_Outsource,LUV_RawMatVector_Outsource)</f>
        <v>1</v>
      </c>
      <c r="T54" s="96">
        <f>IF(S54&lt;5,S54+1,S54)</f>
        <v>2</v>
      </c>
      <c r="U54" s="3"/>
      <c r="V54" s="8"/>
      <c r="W54" s="123"/>
      <c r="X54" s="124"/>
      <c r="Y54" s="124"/>
      <c r="Z54" s="125"/>
    </row>
    <row r="55" spans="15:26" ht="15.75" customHeight="1">
      <c r="O55" s="96">
        <v>2</v>
      </c>
      <c r="P55" s="96">
        <v>20</v>
      </c>
      <c r="Q55" s="98">
        <v>220</v>
      </c>
      <c r="S55" s="96">
        <f>LOOKUP(S54,LUV_RawMatVector_Outsource_Normalized,LUV_RawMatVector_Outsource)</f>
        <v>0</v>
      </c>
      <c r="T55" s="96">
        <f>LOOKUP(T54,LUV_RawMatVector_Outsource_Normalized,LUV_RawMatVector_Outsource)</f>
        <v>20</v>
      </c>
      <c r="U55" s="3"/>
      <c r="V55" s="8"/>
      <c r="W55" s="123"/>
      <c r="X55" s="124"/>
      <c r="Y55" s="124"/>
      <c r="Z55" s="125"/>
    </row>
    <row r="56" spans="15:26" ht="15.75" customHeight="1">
      <c r="O56" s="96">
        <v>3</v>
      </c>
      <c r="P56" s="96">
        <v>50</v>
      </c>
      <c r="Q56" s="98">
        <v>140</v>
      </c>
      <c r="R56" s="3"/>
      <c r="S56" s="98">
        <f>LOOKUP(Calc_RawMatVector_LowerBound,LUV_RawMatVector_Outsource,LUV_RawMatVector_RatMat)</f>
        <v>260</v>
      </c>
      <c r="T56" s="98">
        <f>LOOKUP(Calc_RawMatVector_UpperBound,LUV_RawMatVector_Outsource,LUV_RawMatVector_RatMat)</f>
        <v>220</v>
      </c>
      <c r="U56" s="3"/>
      <c r="V56" s="8"/>
      <c r="W56" s="123"/>
      <c r="X56" s="124"/>
      <c r="Y56" s="124"/>
      <c r="Z56" s="125"/>
    </row>
    <row r="57" spans="15:26" ht="15.75" customHeight="1">
      <c r="O57" s="96">
        <v>4</v>
      </c>
      <c r="P57" s="96">
        <v>80</v>
      </c>
      <c r="Q57" s="12">
        <v>75</v>
      </c>
      <c r="R57" s="3"/>
      <c r="S57" s="109">
        <f>1-T57</f>
        <v>1</v>
      </c>
      <c r="T57" s="109">
        <f>(Calc_IN_Outsource-Calc_RawMatVector_LowerBound)/(Calc_RawMatVector_UpperBound-Calc_RawMatVector_LowerBound)</f>
        <v>0</v>
      </c>
      <c r="V57" s="8"/>
      <c r="W57" s="123"/>
      <c r="X57" s="124"/>
      <c r="Y57" s="124"/>
      <c r="Z57" s="125"/>
    </row>
    <row r="58" spans="15:26" ht="15.75" customHeight="1">
      <c r="O58" s="96">
        <v>5</v>
      </c>
      <c r="P58" s="96">
        <v>100</v>
      </c>
      <c r="Q58" s="98">
        <v>32</v>
      </c>
      <c r="R58" s="3"/>
      <c r="S58" s="135" t="s">
        <v>2</v>
      </c>
      <c r="T58" s="136">
        <f>(T57*T56)+(S57*S56)</f>
        <v>260</v>
      </c>
      <c r="U58" s="3"/>
      <c r="V58" s="8"/>
      <c r="W58" s="123"/>
      <c r="X58" s="124"/>
      <c r="Y58" s="124"/>
      <c r="Z58" s="125"/>
    </row>
    <row r="59" spans="15:26" ht="15.75" customHeight="1">
      <c r="O59" s="100" t="s">
        <v>25</v>
      </c>
      <c r="P59" s="100" t="s">
        <v>236</v>
      </c>
      <c r="Q59" s="3"/>
      <c r="R59" s="3"/>
      <c r="S59" s="3"/>
      <c r="T59" s="3"/>
      <c r="U59" s="3"/>
      <c r="V59" s="8"/>
      <c r="W59" s="123"/>
      <c r="X59" s="124"/>
      <c r="Y59" s="124"/>
      <c r="Z59" s="125"/>
    </row>
    <row r="60" spans="15:26" ht="15.75" customHeight="1" thickBot="1">
      <c r="O60" s="4"/>
      <c r="P60" s="4"/>
      <c r="Q60" s="3"/>
      <c r="R60" s="3"/>
      <c r="S60" s="3"/>
      <c r="T60" s="3"/>
      <c r="U60" s="3"/>
      <c r="V60" s="8"/>
      <c r="W60" s="123"/>
      <c r="X60" s="124"/>
      <c r="Y60" s="124"/>
      <c r="Z60" s="125"/>
    </row>
    <row r="61" spans="15:26" ht="15.75" customHeight="1" thickBot="1">
      <c r="O61" s="194" t="s">
        <v>320</v>
      </c>
      <c r="P61" s="188"/>
      <c r="Q61" s="188"/>
      <c r="R61" s="188"/>
      <c r="S61" s="188"/>
      <c r="T61" s="188"/>
      <c r="U61" s="188"/>
      <c r="V61" s="188"/>
      <c r="W61" s="188"/>
      <c r="X61" s="188"/>
      <c r="Y61" s="188"/>
      <c r="Z61" s="189"/>
    </row>
    <row r="62" spans="15:26" ht="15.75" customHeight="1">
      <c r="O62" s="112" t="s">
        <v>240</v>
      </c>
      <c r="P62" s="112"/>
      <c r="Q62" s="112"/>
      <c r="R62" s="112"/>
      <c r="S62" s="112"/>
      <c r="T62" s="112"/>
      <c r="U62" s="112"/>
      <c r="V62" s="112"/>
      <c r="W62" s="112"/>
      <c r="X62" s="112"/>
      <c r="Y62" s="112"/>
      <c r="Z62" s="112"/>
    </row>
    <row r="63" spans="15:26" ht="15.75" customHeight="1">
      <c r="O63" s="62" t="s">
        <v>241</v>
      </c>
      <c r="P63" s="87"/>
      <c r="Q63" s="87"/>
      <c r="R63" s="87"/>
      <c r="S63" s="87"/>
      <c r="T63" s="87"/>
      <c r="U63" s="87"/>
      <c r="V63" s="34"/>
      <c r="W63" s="113" t="s">
        <v>242</v>
      </c>
      <c r="X63" s="89"/>
      <c r="Y63" s="90"/>
      <c r="Z63" s="90"/>
    </row>
    <row r="64" spans="15:26" ht="15.75" customHeight="1">
      <c r="O64" s="101"/>
      <c r="P64" s="102"/>
      <c r="Q64" s="91" t="s">
        <v>23</v>
      </c>
      <c r="R64" s="92"/>
      <c r="S64" s="92"/>
      <c r="T64" s="92"/>
      <c r="U64" s="93"/>
      <c r="V64" s="4"/>
      <c r="W64" s="101"/>
      <c r="X64" s="102"/>
      <c r="Y64" s="91" t="s">
        <v>23</v>
      </c>
      <c r="Z64" s="93"/>
    </row>
    <row r="65" spans="15:26" ht="15.75" customHeight="1">
      <c r="O65" s="103"/>
      <c r="P65" s="104"/>
      <c r="Q65" s="96">
        <v>1</v>
      </c>
      <c r="R65" s="96">
        <v>2</v>
      </c>
      <c r="S65" s="96">
        <v>3</v>
      </c>
      <c r="T65" s="96">
        <v>4</v>
      </c>
      <c r="U65" s="96">
        <v>5</v>
      </c>
      <c r="V65" s="100" t="s">
        <v>25</v>
      </c>
      <c r="W65" s="103"/>
      <c r="X65" s="104"/>
      <c r="Y65" s="96">
        <f>MATCH(Calc_IN_MfgAuto,LUV_MachineryMatrix_MfgAuto)</f>
        <v>1</v>
      </c>
      <c r="Z65" s="96">
        <f>IF(Y65&lt;5,Y65+1,Y65)</f>
        <v>2</v>
      </c>
    </row>
    <row r="66" spans="15:26" ht="15.75" customHeight="1">
      <c r="O66" s="122" t="s">
        <v>20</v>
      </c>
      <c r="P66" s="95"/>
      <c r="Q66" s="97">
        <v>0</v>
      </c>
      <c r="R66" s="97">
        <v>20</v>
      </c>
      <c r="S66" s="97">
        <v>50</v>
      </c>
      <c r="T66" s="97">
        <v>80</v>
      </c>
      <c r="U66" s="97">
        <v>100</v>
      </c>
      <c r="V66" s="100" t="s">
        <v>221</v>
      </c>
      <c r="W66" s="94" t="s">
        <v>20</v>
      </c>
      <c r="X66" s="99"/>
      <c r="Y66" s="96">
        <f>LOOKUP(Y65,LUV_MachineryMatrix_MfgAuto_Normalized,LUV_MachineryMatrix_MfgAuto)</f>
        <v>0</v>
      </c>
      <c r="Z66" s="96">
        <f>LOOKUP(Z65,LUV_MachineryMatrix_MfgAuto_Normalized,LUV_MachineryMatrix_MfgAuto)</f>
        <v>20</v>
      </c>
    </row>
    <row r="67" spans="15:26" ht="15.75" customHeight="1">
      <c r="O67" s="96">
        <v>1</v>
      </c>
      <c r="P67" s="96">
        <v>0</v>
      </c>
      <c r="Q67" s="98">
        <v>24000000</v>
      </c>
      <c r="R67" s="98">
        <v>31000000</v>
      </c>
      <c r="S67" s="98">
        <v>50000000</v>
      </c>
      <c r="T67" s="98">
        <v>64000000</v>
      </c>
      <c r="U67" s="98">
        <v>77000000</v>
      </c>
      <c r="V67" s="3"/>
      <c r="W67" s="96">
        <f>MATCH(Calc_IN_Outsource,LUV_MachineryMatrix_Outsource)</f>
        <v>1</v>
      </c>
      <c r="X67" s="96">
        <f>LOOKUP(W67,LUV_MachineryMatrix_Outsource_Normalized,LUV_MachineryMatrix_Outsource)</f>
        <v>0</v>
      </c>
      <c r="Y67" s="98">
        <f ca="1">OFFSET(OFFSET_MachineryMatrix,2+$W$43,1+$Y$41)</f>
        <v>24000000</v>
      </c>
      <c r="Z67" s="98">
        <f ca="1">OFFSET(OFFSET_MachineryMatrix,2+$W$43,1+$Z$41)</f>
        <v>31000000</v>
      </c>
    </row>
    <row r="68" spans="15:26" ht="15.75" customHeight="1">
      <c r="O68" s="96">
        <v>2</v>
      </c>
      <c r="P68" s="96">
        <v>20</v>
      </c>
      <c r="Q68" s="98">
        <v>18000000</v>
      </c>
      <c r="R68" s="98">
        <v>23000000</v>
      </c>
      <c r="S68" s="98">
        <v>37000000</v>
      </c>
      <c r="T68" s="98">
        <v>42000000</v>
      </c>
      <c r="U68" s="98">
        <v>55000000</v>
      </c>
      <c r="V68" s="3"/>
      <c r="W68" s="96">
        <f>IF(W67&lt;5,W67+1,W67)</f>
        <v>2</v>
      </c>
      <c r="X68" s="96">
        <f>LOOKUP(W68,LUV_MachineryMatrix_Outsource_Normalized,LUV_MachineryMatrix_Outsource)</f>
        <v>20</v>
      </c>
      <c r="Y68" s="98">
        <f ca="1">OFFSET(OFFSET_MachineryMatrix,2+$W$44,1+$Y$41)</f>
        <v>18000000</v>
      </c>
      <c r="Z68" s="98">
        <f ca="1">OFFSET(OFFSET_MachineryMatrix,2+$W$44,1+$Z$41)</f>
        <v>23000000</v>
      </c>
    </row>
    <row r="69" spans="15:26" ht="15.75" customHeight="1">
      <c r="O69" s="96">
        <v>3</v>
      </c>
      <c r="P69" s="96">
        <v>50</v>
      </c>
      <c r="Q69" s="98">
        <v>12000000</v>
      </c>
      <c r="R69" s="98">
        <v>17000000</v>
      </c>
      <c r="S69" s="98">
        <v>30000000</v>
      </c>
      <c r="T69" s="98">
        <v>35000000</v>
      </c>
      <c r="U69" s="98">
        <v>41000000</v>
      </c>
      <c r="V69" s="3"/>
      <c r="W69" s="88" t="s">
        <v>243</v>
      </c>
      <c r="X69" s="88"/>
      <c r="Y69" s="88"/>
      <c r="Z69" s="88"/>
    </row>
    <row r="70" spans="15:26" ht="15.75" customHeight="1">
      <c r="O70" s="96">
        <v>4</v>
      </c>
      <c r="P70" s="96">
        <v>80</v>
      </c>
      <c r="Q70" s="98">
        <v>6000000</v>
      </c>
      <c r="R70" s="98">
        <v>8000000</v>
      </c>
      <c r="S70" s="98">
        <v>13000000</v>
      </c>
      <c r="T70" s="98">
        <v>20000000</v>
      </c>
      <c r="U70" s="98">
        <v>22000000</v>
      </c>
      <c r="V70" s="3"/>
      <c r="W70" s="105" t="s">
        <v>230</v>
      </c>
      <c r="X70" s="93"/>
      <c r="Y70" s="109">
        <f>1-Z70</f>
        <v>1</v>
      </c>
      <c r="Z70" s="109">
        <f>IF(Calc_LocalMachineryMatrix_MfgAuto_UpperBound=Calc_LocalMachineryMatrix_MfgAuto_LowerBound,Calc_IN_MfgAuto-Calc_LocalMachineryMatrix_MfgAuto_LowerBound,(Calc_IN_MfgAuto-Calc_LocalMachineryMatrix_MfgAuto_LowerBound)/(Calc_LocalMachineryMatrix_MfgAuto_UpperBound-Calc_LocalMachineryMatrix_MfgAuto_LowerBound))</f>
        <v>0</v>
      </c>
    </row>
    <row r="71" spans="15:26" ht="15.75" customHeight="1">
      <c r="O71" s="96">
        <v>5</v>
      </c>
      <c r="P71" s="96">
        <v>100</v>
      </c>
      <c r="Q71" s="98">
        <v>2000000</v>
      </c>
      <c r="R71" s="98">
        <v>2000000</v>
      </c>
      <c r="S71" s="98">
        <v>2000000</v>
      </c>
      <c r="T71" s="98">
        <v>2000000</v>
      </c>
      <c r="U71" s="98">
        <v>2000000</v>
      </c>
      <c r="V71" s="6"/>
      <c r="W71" s="126" t="s">
        <v>231</v>
      </c>
      <c r="X71" s="108"/>
      <c r="Y71" s="109">
        <f>1-Z71</f>
        <v>1</v>
      </c>
      <c r="Z71" s="110">
        <f>IF(Calc_LocalMachineryMatrix_Outsource_UpperBound=Calc_LocalMachineryMatrix_Outsource_LowerBound,Calc_IN_Outsource-Calc_LocalMachineryMatrix_Outsource_LowerBound,(Calc_IN_Outsource-Calc_LocalMachineryMatrix_Outsource_LowerBound)/(Calc_LocalMachineryMatrix_Outsource_UpperBound-Calc_LocalMachineryMatrix_Outsource_LowerBound))</f>
        <v>0</v>
      </c>
    </row>
    <row r="72" spans="15:26" ht="15.75" customHeight="1">
      <c r="O72" s="100" t="s">
        <v>25</v>
      </c>
      <c r="P72" s="100" t="s">
        <v>236</v>
      </c>
      <c r="Q72" s="3"/>
      <c r="R72" s="3"/>
      <c r="S72" s="3"/>
      <c r="T72" s="3"/>
      <c r="U72" s="3"/>
      <c r="V72" s="8"/>
      <c r="W72" s="78" t="s">
        <v>4</v>
      </c>
      <c r="X72" s="127"/>
      <c r="Y72" s="107"/>
      <c r="Z72" s="128">
        <f>ROUNDUP(((Z71*((Z70*Z68)+(Y70*Y68)))+(Y71*((Z70*Z67)+(Y70*Y67)))),0)</f>
        <v>24000000</v>
      </c>
    </row>
    <row r="73" ht="15.75" customHeight="1" thickBot="1"/>
    <row r="74" spans="15:26" ht="15.75" customHeight="1" thickBot="1">
      <c r="O74" s="194" t="s">
        <v>320</v>
      </c>
      <c r="P74" s="188"/>
      <c r="Q74" s="188"/>
      <c r="R74" s="188"/>
      <c r="S74" s="188"/>
      <c r="T74" s="188"/>
      <c r="U74" s="188"/>
      <c r="V74" s="188"/>
      <c r="W74" s="188"/>
      <c r="X74" s="188"/>
      <c r="Y74" s="188"/>
      <c r="Z74" s="189"/>
    </row>
    <row r="75" spans="15:26" ht="15.75" customHeight="1">
      <c r="O75" s="112" t="s">
        <v>244</v>
      </c>
      <c r="P75" s="112"/>
      <c r="Q75" s="112"/>
      <c r="R75" s="112"/>
      <c r="S75" s="112"/>
      <c r="T75" s="112"/>
      <c r="U75" s="112"/>
      <c r="V75" s="112"/>
      <c r="W75" s="112"/>
      <c r="X75" s="112"/>
      <c r="Y75" s="112"/>
      <c r="Z75" s="112"/>
    </row>
    <row r="76" spans="15:26" ht="15.75" customHeight="1">
      <c r="O76" s="62" t="s">
        <v>245</v>
      </c>
      <c r="P76" s="87"/>
      <c r="Q76" s="87"/>
      <c r="R76" s="87"/>
      <c r="S76" s="87"/>
      <c r="T76" s="87"/>
      <c r="U76" s="87"/>
      <c r="V76" s="34"/>
      <c r="W76" s="113" t="s">
        <v>246</v>
      </c>
      <c r="X76" s="89"/>
      <c r="Y76" s="90"/>
      <c r="Z76" s="90"/>
    </row>
    <row r="77" spans="15:26" ht="15.75" customHeight="1">
      <c r="O77" s="101"/>
      <c r="P77" s="102"/>
      <c r="Q77" s="91" t="s">
        <v>23</v>
      </c>
      <c r="R77" s="92"/>
      <c r="S77" s="92"/>
      <c r="T77" s="92"/>
      <c r="U77" s="93"/>
      <c r="V77" s="4"/>
      <c r="W77" s="101"/>
      <c r="X77" s="102"/>
      <c r="Y77" s="91" t="s">
        <v>23</v>
      </c>
      <c r="Z77" s="93"/>
    </row>
    <row r="78" spans="15:26" ht="15.75" customHeight="1">
      <c r="O78" s="103"/>
      <c r="P78" s="104"/>
      <c r="Q78" s="96">
        <v>1</v>
      </c>
      <c r="R78" s="96">
        <v>2</v>
      </c>
      <c r="S78" s="96">
        <v>3</v>
      </c>
      <c r="T78" s="96">
        <v>4</v>
      </c>
      <c r="U78" s="96">
        <v>5</v>
      </c>
      <c r="V78" s="100" t="s">
        <v>25</v>
      </c>
      <c r="W78" s="103"/>
      <c r="X78" s="104"/>
      <c r="Y78" s="96">
        <f>MATCH(Calc_IN_MfgAuto,LUV_ToolsMatrix_MfgAuto)</f>
        <v>1</v>
      </c>
      <c r="Z78" s="96">
        <f>IF(Y78&lt;5,Y78+1,Y78)</f>
        <v>2</v>
      </c>
    </row>
    <row r="79" spans="15:26" ht="15.75" customHeight="1">
      <c r="O79" s="122" t="s">
        <v>20</v>
      </c>
      <c r="P79" s="95"/>
      <c r="Q79" s="97">
        <v>0</v>
      </c>
      <c r="R79" s="97">
        <v>20</v>
      </c>
      <c r="S79" s="97">
        <v>50</v>
      </c>
      <c r="T79" s="97">
        <v>80</v>
      </c>
      <c r="U79" s="97">
        <v>100</v>
      </c>
      <c r="V79" s="100" t="s">
        <v>221</v>
      </c>
      <c r="W79" s="94" t="s">
        <v>20</v>
      </c>
      <c r="X79" s="99"/>
      <c r="Y79" s="96">
        <f>LOOKUP(Y78,LUV_ToolsMatrix_MfgAuto_Normalized,LUV_ToolsMatrix_MfgAuto)</f>
        <v>0</v>
      </c>
      <c r="Z79" s="96">
        <f>LOOKUP(Z78,LUV_ToolsMatrix_MfgAuto_Normalized,LUV_ToolsMatrix_MfgAuto)</f>
        <v>20</v>
      </c>
    </row>
    <row r="80" spans="15:26" ht="15.75" customHeight="1">
      <c r="O80" s="96">
        <v>1</v>
      </c>
      <c r="P80" s="96">
        <v>0</v>
      </c>
      <c r="Q80" s="98">
        <v>2100000</v>
      </c>
      <c r="R80" s="98">
        <v>1050000</v>
      </c>
      <c r="S80" s="98">
        <v>700000</v>
      </c>
      <c r="T80" s="98">
        <v>350000</v>
      </c>
      <c r="U80" s="98">
        <v>100000</v>
      </c>
      <c r="V80" s="3"/>
      <c r="W80" s="96">
        <f>MATCH(Calc_IN_Outsource,LUV_ToolsMatrix_Outsource)</f>
        <v>1</v>
      </c>
      <c r="X80" s="96">
        <f>LOOKUP(W80,LUV_ToolsMatrix_Outsource_Normalized,LUV_ToolsMatrix_Outsource)</f>
        <v>0</v>
      </c>
      <c r="Y80" s="98">
        <f ca="1">OFFSET(OFFSET_ToolsMatrix,2+$W$43,1+$Y$41)</f>
        <v>2100000</v>
      </c>
      <c r="Z80" s="98">
        <f ca="1">OFFSET(OFFSET_ToolsMatrix,2+$W$43,1+$Z$41)</f>
        <v>1050000</v>
      </c>
    </row>
    <row r="81" spans="15:26" ht="15.75" customHeight="1">
      <c r="O81" s="96">
        <v>2</v>
      </c>
      <c r="P81" s="96">
        <v>20</v>
      </c>
      <c r="Q81" s="98">
        <v>1800000</v>
      </c>
      <c r="R81" s="98">
        <v>950000</v>
      </c>
      <c r="S81" s="98">
        <v>600000</v>
      </c>
      <c r="T81" s="98">
        <v>310000</v>
      </c>
      <c r="U81" s="98">
        <v>85000</v>
      </c>
      <c r="V81" s="3"/>
      <c r="W81" s="96">
        <f>IF(W80&lt;5,W80+1,W80)</f>
        <v>2</v>
      </c>
      <c r="X81" s="96">
        <f>LOOKUP(W81,LUV_ToolsMatrix_Outsource_Normalized,LUV_ToolsMatrix_Outsource)</f>
        <v>20</v>
      </c>
      <c r="Y81" s="98">
        <f ca="1">OFFSET(OFFSET_ToolsMatrix,2+$W$44,1+$Y$41)</f>
        <v>1800000</v>
      </c>
      <c r="Z81" s="98">
        <f ca="1">OFFSET(OFFSET_ToolsMatrix,2+$W$44,1+$Z$41)</f>
        <v>950000</v>
      </c>
    </row>
    <row r="82" spans="15:26" ht="15.75" customHeight="1">
      <c r="O82" s="96">
        <v>3</v>
      </c>
      <c r="P82" s="96">
        <v>50</v>
      </c>
      <c r="Q82" s="98">
        <v>1000000</v>
      </c>
      <c r="R82" s="98">
        <v>500000</v>
      </c>
      <c r="S82" s="98">
        <v>330000</v>
      </c>
      <c r="T82" s="98">
        <v>220000</v>
      </c>
      <c r="U82" s="98">
        <v>75000</v>
      </c>
      <c r="V82" s="3"/>
      <c r="W82" s="88" t="s">
        <v>247</v>
      </c>
      <c r="X82" s="88"/>
      <c r="Y82" s="88"/>
      <c r="Z82" s="88"/>
    </row>
    <row r="83" spans="15:26" ht="15.75" customHeight="1">
      <c r="O83" s="96">
        <v>4</v>
      </c>
      <c r="P83" s="96">
        <v>80</v>
      </c>
      <c r="Q83" s="98">
        <v>70000</v>
      </c>
      <c r="R83" s="98">
        <v>310000</v>
      </c>
      <c r="S83" s="98">
        <v>210000</v>
      </c>
      <c r="T83" s="98">
        <v>92000</v>
      </c>
      <c r="U83" s="98">
        <v>60000</v>
      </c>
      <c r="V83" s="3"/>
      <c r="W83" s="105" t="s">
        <v>230</v>
      </c>
      <c r="X83" s="93"/>
      <c r="Y83" s="109">
        <f>1-Z83</f>
        <v>1</v>
      </c>
      <c r="Z83" s="109">
        <f>IF(Calc_LocalToolsMatrix_MfgAuto_UpperBound=Calc_LocalToolsMatrix_MfgAuto_LowerBound,Calc_IN_MfgAuto-Calc_LocalToolsMatrix_MfgAuto_LowerBound,(Calc_IN_MfgAuto-Calc_LocalToolsMatrix_MfgAuto_LowerBound)/(Calc_LocalToolsMatrix_MfgAuto_UpperBound-Calc_LocalToolsMatrix_MfgAuto_LowerBound))</f>
        <v>0</v>
      </c>
    </row>
    <row r="84" spans="15:26" ht="15.75" customHeight="1">
      <c r="O84" s="96">
        <v>5</v>
      </c>
      <c r="P84" s="96">
        <v>100</v>
      </c>
      <c r="Q84" s="98">
        <v>100000</v>
      </c>
      <c r="R84" s="98">
        <v>50000</v>
      </c>
      <c r="S84" s="98">
        <v>50000</v>
      </c>
      <c r="T84" s="98">
        <v>50000</v>
      </c>
      <c r="U84" s="98">
        <v>50000</v>
      </c>
      <c r="V84" s="6"/>
      <c r="W84" s="126" t="s">
        <v>231</v>
      </c>
      <c r="X84" s="108"/>
      <c r="Y84" s="109">
        <f>1-Z84</f>
        <v>1</v>
      </c>
      <c r="Z84" s="110">
        <f>IF(Calc_LocalToolsMatrix_Outsource_UpperBound=Calc_LocalToolsMatrix_Outsource_LowerBound,Calc_IN_Outsource-Calc_LocalToolsMatrix_Outsource_LowerBound,(Calc_IN_Outsource-Calc_LocalToolsMatrix_Outsource_LowerBound)/(Calc_LocalToolsMatrix_Outsource_UpperBound-Calc_LocalToolsMatrix_Outsource_LowerBound))</f>
        <v>0</v>
      </c>
    </row>
    <row r="85" spans="15:26" ht="15.75" customHeight="1">
      <c r="O85" s="100" t="s">
        <v>25</v>
      </c>
      <c r="P85" s="100" t="s">
        <v>236</v>
      </c>
      <c r="Q85" s="3"/>
      <c r="R85" s="3"/>
      <c r="S85" s="3"/>
      <c r="T85" s="3"/>
      <c r="U85" s="3"/>
      <c r="V85" s="8"/>
      <c r="W85" s="78" t="s">
        <v>5</v>
      </c>
      <c r="X85" s="127"/>
      <c r="Y85" s="107"/>
      <c r="Z85" s="128">
        <f>ROUNDUP(((Z84*((Z83*Z81)+(Y83*Y81)))+(Y84*((Z83*Z80)+(Y83*Y80)))),0)</f>
        <v>2100000</v>
      </c>
    </row>
    <row r="86" ht="15.75" customHeight="1" thickBot="1"/>
    <row r="87" spans="15:23" ht="15.75" customHeight="1" thickBot="1">
      <c r="O87" s="200" t="s">
        <v>321</v>
      </c>
      <c r="P87" s="197"/>
      <c r="Q87" s="198"/>
      <c r="R87" s="198"/>
      <c r="S87" s="198"/>
      <c r="T87" s="199"/>
      <c r="U87" s="198"/>
      <c r="V87" s="188"/>
      <c r="W87" s="201"/>
    </row>
    <row r="88" spans="15:20" ht="15.75" customHeight="1">
      <c r="O88" s="112" t="s">
        <v>238</v>
      </c>
      <c r="P88" s="112"/>
      <c r="Q88" s="112"/>
      <c r="R88" s="112"/>
      <c r="S88" s="112"/>
      <c r="T88" s="112"/>
    </row>
    <row r="89" spans="15:20" ht="15.75" customHeight="1">
      <c r="O89" s="113" t="s">
        <v>239</v>
      </c>
      <c r="P89" s="130"/>
      <c r="Q89" s="130"/>
      <c r="R89" s="3"/>
      <c r="S89" s="88" t="s">
        <v>235</v>
      </c>
      <c r="T89" s="88"/>
    </row>
    <row r="90" spans="15:20" ht="15.75" customHeight="1">
      <c r="O90" s="134" t="s">
        <v>20</v>
      </c>
      <c r="P90" s="95"/>
      <c r="Q90" s="132" t="s">
        <v>9</v>
      </c>
      <c r="S90" s="134" t="s">
        <v>20</v>
      </c>
      <c r="T90" s="95"/>
    </row>
    <row r="91" spans="15:20" ht="15.75" customHeight="1">
      <c r="O91" s="133">
        <v>1</v>
      </c>
      <c r="P91" s="133">
        <v>0</v>
      </c>
      <c r="Q91" s="98">
        <v>0</v>
      </c>
      <c r="S91" s="96">
        <f>MATCH(Calc_IN_Outsource,LUV_OutsourcePartsVector_Outsource)</f>
        <v>1</v>
      </c>
      <c r="T91" s="96">
        <f>IF(S91&lt;5,S91+1,S91)</f>
        <v>2</v>
      </c>
    </row>
    <row r="92" spans="15:20" ht="15.75" customHeight="1">
      <c r="O92" s="96">
        <v>2</v>
      </c>
      <c r="P92" s="96">
        <v>20</v>
      </c>
      <c r="Q92" s="98">
        <v>67</v>
      </c>
      <c r="S92" s="96">
        <f>LOOKUP(S91,LUV_OutsourcePartsVector_Outsource_Normalized,LUV_OutsourcePartsVector_Outsource)</f>
        <v>0</v>
      </c>
      <c r="T92" s="96">
        <f>LOOKUP(T91,LUV_OutsourcePartsVector_Outsource_Normalized,LUV_OutsourcePartsVector_Outsource)</f>
        <v>20</v>
      </c>
    </row>
    <row r="93" spans="15:20" ht="15.75" customHeight="1">
      <c r="O93" s="96">
        <v>3</v>
      </c>
      <c r="P93" s="96">
        <v>50</v>
      </c>
      <c r="Q93" s="98">
        <v>200</v>
      </c>
      <c r="R93" s="3"/>
      <c r="S93" s="98">
        <f>LOOKUP(Calc_OutsourcePartsVector_LowerBound,LUV_OutsourcePartsVector_Outsource,LUV_OutsourcePartsVector_Outsource_Cost)</f>
        <v>0</v>
      </c>
      <c r="T93" s="98">
        <f>LOOKUP(Calc_OutsourcePartsVector_UpperBound,LUV_OutsourcePartsVector_Outsource,LUV_OutsourcePartsVector_Outsource_Cost)</f>
        <v>67</v>
      </c>
    </row>
    <row r="94" spans="15:20" ht="15.75" customHeight="1">
      <c r="O94" s="96">
        <v>4</v>
      </c>
      <c r="P94" s="96">
        <v>80</v>
      </c>
      <c r="Q94" s="12">
        <v>265</v>
      </c>
      <c r="R94" s="3"/>
      <c r="S94" s="109">
        <f>1-T94</f>
        <v>1</v>
      </c>
      <c r="T94" s="109">
        <f>(Calc_IN_Outsource-Calc_RawMatVector_LowerBound)/(Calc_RawMatVector_UpperBound-Calc_RawMatVector_LowerBound)</f>
        <v>0</v>
      </c>
    </row>
    <row r="95" spans="15:20" ht="15.75" customHeight="1">
      <c r="O95" s="96">
        <v>5</v>
      </c>
      <c r="P95" s="96">
        <v>100</v>
      </c>
      <c r="Q95" s="98">
        <v>364</v>
      </c>
      <c r="R95" s="3"/>
      <c r="S95" s="135" t="s">
        <v>19</v>
      </c>
      <c r="T95" s="136">
        <f>(T94*T93)+(S94*S93)</f>
        <v>0</v>
      </c>
    </row>
    <row r="96" spans="15:20" ht="15.75" customHeight="1">
      <c r="O96" s="100" t="s">
        <v>25</v>
      </c>
      <c r="P96" s="100" t="s">
        <v>236</v>
      </c>
      <c r="Q96" s="3"/>
      <c r="R96" s="3"/>
      <c r="S96" s="3"/>
      <c r="T96" s="3"/>
    </row>
    <row r="97" ht="15.75" customHeight="1" thickBot="1"/>
    <row r="98" spans="15:26" ht="15.75" customHeight="1" thickBot="1">
      <c r="O98" s="194" t="s">
        <v>322</v>
      </c>
      <c r="P98" s="188"/>
      <c r="Q98" s="188"/>
      <c r="R98" s="188"/>
      <c r="S98" s="188"/>
      <c r="T98" s="188"/>
      <c r="U98" s="188"/>
      <c r="V98" s="188"/>
      <c r="W98" s="188"/>
      <c r="X98" s="188"/>
      <c r="Y98" s="188"/>
      <c r="Z98" s="189"/>
    </row>
    <row r="99" spans="15:26" ht="15.75" customHeight="1">
      <c r="O99" s="112" t="s">
        <v>248</v>
      </c>
      <c r="P99" s="112"/>
      <c r="Q99" s="112"/>
      <c r="R99" s="112"/>
      <c r="S99" s="112"/>
      <c r="T99" s="112"/>
      <c r="U99" s="112"/>
      <c r="V99" s="112"/>
      <c r="W99" s="112"/>
      <c r="X99" s="112"/>
      <c r="Y99" s="112"/>
      <c r="Z99" s="112"/>
    </row>
    <row r="100" spans="15:26" ht="15.75" customHeight="1">
      <c r="O100" s="62" t="s">
        <v>249</v>
      </c>
      <c r="P100" s="87"/>
      <c r="Q100" s="87"/>
      <c r="R100" s="87"/>
      <c r="S100" s="87"/>
      <c r="T100" s="87"/>
      <c r="U100" s="87"/>
      <c r="V100" s="34"/>
      <c r="W100" s="113" t="s">
        <v>250</v>
      </c>
      <c r="X100" s="89"/>
      <c r="Y100" s="90"/>
      <c r="Z100" s="90"/>
    </row>
    <row r="101" spans="15:26" ht="15.75" customHeight="1">
      <c r="O101" s="101"/>
      <c r="P101" s="102"/>
      <c r="Q101" s="91" t="s">
        <v>23</v>
      </c>
      <c r="R101" s="92"/>
      <c r="S101" s="92"/>
      <c r="T101" s="92"/>
      <c r="U101" s="93"/>
      <c r="V101" s="4"/>
      <c r="W101" s="101"/>
      <c r="X101" s="102"/>
      <c r="Y101" s="91" t="s">
        <v>23</v>
      </c>
      <c r="Z101" s="93"/>
    </row>
    <row r="102" spans="15:26" ht="15.75" customHeight="1">
      <c r="O102" s="103"/>
      <c r="P102" s="104"/>
      <c r="Q102" s="96">
        <v>1</v>
      </c>
      <c r="R102" s="96">
        <v>2</v>
      </c>
      <c r="S102" s="96">
        <v>3</v>
      </c>
      <c r="T102" s="96">
        <v>4</v>
      </c>
      <c r="U102" s="96">
        <v>5</v>
      </c>
      <c r="V102" s="100" t="s">
        <v>25</v>
      </c>
      <c r="W102" s="103"/>
      <c r="X102" s="104"/>
      <c r="Y102" s="96">
        <f>MATCH(Calc_IN_MfgAuto,LUV_CapacityMatrix_MfgAuto)</f>
        <v>1</v>
      </c>
      <c r="Z102" s="96">
        <f>IF(Y102&lt;5,Y102+1,Y102)</f>
        <v>2</v>
      </c>
    </row>
    <row r="103" spans="15:26" ht="15.75" customHeight="1">
      <c r="O103" s="122" t="s">
        <v>20</v>
      </c>
      <c r="P103" s="95"/>
      <c r="Q103" s="97">
        <v>0</v>
      </c>
      <c r="R103" s="97">
        <v>20</v>
      </c>
      <c r="S103" s="97">
        <v>50</v>
      </c>
      <c r="T103" s="97">
        <v>80</v>
      </c>
      <c r="U103" s="97">
        <v>100</v>
      </c>
      <c r="V103" s="100" t="s">
        <v>221</v>
      </c>
      <c r="W103" s="94" t="s">
        <v>20</v>
      </c>
      <c r="X103" s="99"/>
      <c r="Y103" s="96">
        <f>LOOKUP(Y102,LUV_CapacityMatrix_MfgAuto_Normalized,LUV_CapacityMatrix_MfgAuto)</f>
        <v>0</v>
      </c>
      <c r="Z103" s="96">
        <f>LOOKUP(Z102,LUV_CapacityMatrix_MfgAuto_Normalized,LUV_CapacityMatrix_MfgAuto)</f>
        <v>20</v>
      </c>
    </row>
    <row r="104" spans="15:26" ht="15.75" customHeight="1">
      <c r="O104" s="96">
        <v>1</v>
      </c>
      <c r="P104" s="96">
        <v>0</v>
      </c>
      <c r="Q104" s="98">
        <v>20000</v>
      </c>
      <c r="R104" s="98">
        <v>110000</v>
      </c>
      <c r="S104" s="98">
        <v>200000</v>
      </c>
      <c r="T104" s="98">
        <v>450000</v>
      </c>
      <c r="U104" s="98">
        <v>875000</v>
      </c>
      <c r="V104" s="3"/>
      <c r="W104" s="96">
        <f>MATCH(Calc_IN_Outsource,LUV_ToolsMatrix_Outsource)</f>
        <v>1</v>
      </c>
      <c r="X104" s="96">
        <f>LOOKUP(W104,LUV_CapacityMatrix_Outsource_Normalized,LUV_CapacityMatrix_Outsource)</f>
        <v>0</v>
      </c>
      <c r="Y104" s="98">
        <f ca="1">OFFSET(OFFSET_CapacityMatrix,2+$W$43,1+$Y$41)</f>
        <v>20000</v>
      </c>
      <c r="Z104" s="98">
        <f ca="1">OFFSET(OFFSET_CapacityMatrix,2+$W$43,1+$Z$41)</f>
        <v>110000</v>
      </c>
    </row>
    <row r="105" spans="15:26" ht="15.75" customHeight="1">
      <c r="O105" s="96">
        <v>2</v>
      </c>
      <c r="P105" s="96">
        <v>20</v>
      </c>
      <c r="Q105" s="98">
        <v>75000</v>
      </c>
      <c r="R105" s="98">
        <v>250000</v>
      </c>
      <c r="S105" s="98">
        <v>500000</v>
      </c>
      <c r="T105" s="98">
        <v>800000</v>
      </c>
      <c r="U105" s="98">
        <v>1250000</v>
      </c>
      <c r="V105" s="3"/>
      <c r="W105" s="96">
        <f>IF(W104&lt;5,W104+1,W104)</f>
        <v>2</v>
      </c>
      <c r="X105" s="96">
        <f>LOOKUP(W105,LUV_CapacityMatrix_Outsource_Normalized,LUV_CapacityMatrix_Outsource)</f>
        <v>20</v>
      </c>
      <c r="Y105" s="98">
        <f ca="1">OFFSET(OFFSET_CapacityMatrix,2+$W$44,1+$Y$41)</f>
        <v>75000</v>
      </c>
      <c r="Z105" s="98">
        <f ca="1">OFFSET(OFFSET_CapacityMatrix,2+$W$44,1+$Z$41)</f>
        <v>250000</v>
      </c>
    </row>
    <row r="106" spans="15:26" ht="15.75" customHeight="1">
      <c r="O106" s="96">
        <v>3</v>
      </c>
      <c r="P106" s="96">
        <v>50</v>
      </c>
      <c r="Q106" s="98">
        <v>90000</v>
      </c>
      <c r="R106" s="98">
        <v>400000</v>
      </c>
      <c r="S106" s="98">
        <v>1100000</v>
      </c>
      <c r="T106" s="98">
        <v>1500000</v>
      </c>
      <c r="U106" s="98">
        <v>1700000</v>
      </c>
      <c r="V106" s="3"/>
      <c r="W106" s="88" t="s">
        <v>251</v>
      </c>
      <c r="X106" s="88"/>
      <c r="Y106" s="88"/>
      <c r="Z106" s="88"/>
    </row>
    <row r="107" spans="15:26" ht="15.75" customHeight="1">
      <c r="O107" s="96">
        <v>4</v>
      </c>
      <c r="P107" s="96">
        <v>80</v>
      </c>
      <c r="Q107" s="98">
        <v>125000</v>
      </c>
      <c r="R107" s="98">
        <v>500000</v>
      </c>
      <c r="S107" s="98">
        <v>1450000</v>
      </c>
      <c r="T107" s="98">
        <v>2000000</v>
      </c>
      <c r="U107" s="98">
        <v>2200000</v>
      </c>
      <c r="V107" s="3"/>
      <c r="W107" s="105" t="s">
        <v>230</v>
      </c>
      <c r="X107" s="93"/>
      <c r="Y107" s="109">
        <f>1-Z107</f>
        <v>1</v>
      </c>
      <c r="Z107" s="109">
        <f>IF(Calc_LocaCapacityMatrix_MfgAuto_UpperBound=Calc_LocaCapacityMatrix_MfgAuto_LowerBound,Calc_IN_MfgAuto-Calc_LocaCapacityMatrix_MfgAuto_LowerBound,(Calc_IN_MfgAuto-Calc_LocaCapacityMatrix_MfgAuto_LowerBound)/(Calc_LocaCapacityMatrix_MfgAuto_UpperBound-Calc_LocaCapacityMatrix_MfgAuto_LowerBound))</f>
        <v>0</v>
      </c>
    </row>
    <row r="108" spans="15:26" ht="15.75" customHeight="1">
      <c r="O108" s="96">
        <v>5</v>
      </c>
      <c r="P108" s="96">
        <v>100</v>
      </c>
      <c r="Q108" s="98">
        <v>450000</v>
      </c>
      <c r="R108" s="98">
        <v>1800000</v>
      </c>
      <c r="S108" s="98">
        <v>1800000</v>
      </c>
      <c r="T108" s="98">
        <v>1800000</v>
      </c>
      <c r="U108" s="98">
        <v>1800000</v>
      </c>
      <c r="V108" s="6"/>
      <c r="W108" s="126" t="s">
        <v>231</v>
      </c>
      <c r="X108" s="108"/>
      <c r="Y108" s="109">
        <f>1-Z108</f>
        <v>1</v>
      </c>
      <c r="Z108" s="110">
        <f>IF(Calc_LocaCapacityMatrix_Outsource_UpperBound=Calc_LocaCapacityMatrix_Outsource_LowerBound,Calc_IN_Outsource-Calc_LocaCapacityMatrix_Outsource_LowerBound,(Calc_IN_Outsource-Calc_LocaCapacityMatrix_Outsource_LowerBound)/(Calc_LocaCapacityMatrix_Outsource_UpperBound-Calc_LocaCapacityMatrix_Outsource_LowerBound))</f>
        <v>0</v>
      </c>
    </row>
    <row r="109" spans="15:26" ht="15.75" customHeight="1">
      <c r="O109" s="100" t="s">
        <v>25</v>
      </c>
      <c r="P109" s="100" t="s">
        <v>236</v>
      </c>
      <c r="Q109" s="3"/>
      <c r="R109" s="3"/>
      <c r="S109" s="3"/>
      <c r="T109" s="3"/>
      <c r="U109" s="3"/>
      <c r="V109" s="8"/>
      <c r="W109" s="78" t="s">
        <v>164</v>
      </c>
      <c r="X109" s="127"/>
      <c r="Y109" s="107"/>
      <c r="Z109" s="111">
        <f>ROUNDUP(((Z108*((Z107*Z105)+(Y107*Y105)))+(Y108*((Z107*Z104)+(Y107*Y104)))),0)</f>
        <v>20000</v>
      </c>
    </row>
    <row r="110" ht="15.75" customHeight="1" thickBot="1"/>
    <row r="111" spans="15:25" ht="15.75" customHeight="1" thickBot="1">
      <c r="O111" s="200" t="s">
        <v>323</v>
      </c>
      <c r="P111" s="197"/>
      <c r="Q111" s="198"/>
      <c r="R111" s="198"/>
      <c r="S111" s="198"/>
      <c r="T111" s="199"/>
      <c r="U111" s="198"/>
      <c r="V111" s="188"/>
      <c r="W111" s="201"/>
      <c r="X111" s="188"/>
      <c r="Y111" s="189"/>
    </row>
    <row r="112" spans="15:20" ht="15.75" customHeight="1">
      <c r="O112" s="112" t="s">
        <v>11</v>
      </c>
      <c r="P112" s="112"/>
      <c r="Q112" s="112"/>
      <c r="R112" s="112"/>
      <c r="S112" s="112"/>
      <c r="T112" s="112"/>
    </row>
    <row r="113" spans="15:20" ht="15.75" customHeight="1">
      <c r="O113" s="62" t="s">
        <v>249</v>
      </c>
      <c r="P113" s="87"/>
      <c r="Q113" s="87"/>
      <c r="S113" s="88" t="s">
        <v>253</v>
      </c>
      <c r="T113" s="88"/>
    </row>
    <row r="114" spans="15:20" ht="15.75" customHeight="1">
      <c r="O114" s="72"/>
      <c r="P114" s="68" t="s">
        <v>214</v>
      </c>
      <c r="Q114" s="68" t="s">
        <v>252</v>
      </c>
      <c r="S114" s="68" t="s">
        <v>214</v>
      </c>
      <c r="T114" s="68" t="s">
        <v>252</v>
      </c>
    </row>
    <row r="115" spans="15:20" ht="15.75" customHeight="1">
      <c r="O115" s="67" t="s">
        <v>12</v>
      </c>
      <c r="P115" s="11">
        <f>Calc_IN_BEFPos1</f>
        <v>0</v>
      </c>
      <c r="Q115" s="144" t="e">
        <f>LOOKUP(P115,LUV_BEFCostVector_Input,LUV_BEFCostVector_Cost)</f>
        <v>#N/A</v>
      </c>
      <c r="S115" s="143" t="s">
        <v>39</v>
      </c>
      <c r="T115" s="142">
        <f>Calc_CC_Plant</f>
        <v>0</v>
      </c>
    </row>
    <row r="116" spans="15:20" ht="15.75" customHeight="1">
      <c r="O116" s="65" t="s">
        <v>13</v>
      </c>
      <c r="P116" s="11">
        <f>Calc_IN_BEFPos2</f>
        <v>0</v>
      </c>
      <c r="Q116" s="144" t="e">
        <f>LOOKUP(P116,LUV_BEFCostVector_Input,LUV_BEFCostVector_Cost)</f>
        <v>#N/A</v>
      </c>
      <c r="S116" s="66" t="s">
        <v>43</v>
      </c>
      <c r="T116" s="142">
        <f>Calc_FixedCost</f>
        <v>0</v>
      </c>
    </row>
    <row r="117" spans="15:20" ht="15.75" customHeight="1">
      <c r="O117" s="65" t="s">
        <v>14</v>
      </c>
      <c r="P117" s="14">
        <f>Calc_IN_BEFPos3</f>
        <v>0</v>
      </c>
      <c r="Q117" s="144" t="e">
        <f>LOOKUP(P117,LUV_BEFCostVector_Input,LUV_BEFCostVector_Cost)</f>
        <v>#N/A</v>
      </c>
      <c r="S117" s="66" t="s">
        <v>37</v>
      </c>
      <c r="T117" s="142">
        <f>Calc_Labor</f>
        <v>100</v>
      </c>
    </row>
    <row r="118" spans="15:20" ht="15.75" customHeight="1">
      <c r="O118" s="78" t="s">
        <v>42</v>
      </c>
      <c r="P118" s="146"/>
      <c r="Q118" s="149" t="e">
        <f>Calc_FixedCost/(Calc_IN_Price-Calc_VarCost)</f>
        <v>#DIV/0!</v>
      </c>
      <c r="S118" s="66" t="s">
        <v>17</v>
      </c>
      <c r="T118" s="142">
        <f>Calc_Machinery</f>
        <v>24000000</v>
      </c>
    </row>
    <row r="119" spans="15:20" ht="15.75" customHeight="1">
      <c r="O119" s="78" t="s">
        <v>255</v>
      </c>
      <c r="P119" s="147"/>
      <c r="Q119" s="145" t="e">
        <f>IF(Calc_BEVolume&lt;0,"N/A",Calc_BEVolume*Calc_IN_Price)</f>
        <v>#DIV/0!</v>
      </c>
      <c r="S119" s="66" t="s">
        <v>21</v>
      </c>
      <c r="T119" s="142">
        <f>Calc_IN_MktInvest</f>
        <v>0</v>
      </c>
    </row>
    <row r="120" spans="15:20" ht="15.75" customHeight="1">
      <c r="O120" s="78" t="s">
        <v>256</v>
      </c>
      <c r="P120" s="148"/>
      <c r="Q120" s="149" t="e">
        <f>IF(Calc_BEVolume&lt;0,"N/A",Calc_BEVolume/(MIN(Calc_Capacity,Calc_Demand)))</f>
        <v>#DIV/0!</v>
      </c>
      <c r="S120" s="66" t="s">
        <v>19</v>
      </c>
      <c r="T120" s="142">
        <f>Calc_OutsourceParts</f>
        <v>0</v>
      </c>
    </row>
    <row r="121" spans="19:20" ht="15.75" customHeight="1">
      <c r="S121" s="66" t="s">
        <v>15</v>
      </c>
      <c r="T121" s="142">
        <f>Calc_IN_Price</f>
        <v>0</v>
      </c>
    </row>
    <row r="122" spans="19:20" ht="15.75" customHeight="1">
      <c r="S122" s="66" t="s">
        <v>16</v>
      </c>
      <c r="T122" s="142">
        <f>Calc_RawMat</f>
        <v>260</v>
      </c>
    </row>
    <row r="123" spans="19:20" ht="15.75" customHeight="1">
      <c r="S123" s="66" t="s">
        <v>36</v>
      </c>
      <c r="T123" s="142" t="e">
        <f>Calc_Demand*Calc_IN_Price</f>
        <v>#N/A</v>
      </c>
    </row>
    <row r="124" spans="19:20" ht="15.75" customHeight="1">
      <c r="S124" s="66" t="s">
        <v>38</v>
      </c>
      <c r="T124" s="142">
        <f>Calc_FixedCost+Calc_VarCost</f>
        <v>0</v>
      </c>
    </row>
    <row r="125" spans="19:20" ht="15.75" customHeight="1">
      <c r="S125" s="66" t="s">
        <v>0</v>
      </c>
      <c r="T125" s="142">
        <f>Calc_VarCost</f>
        <v>0</v>
      </c>
    </row>
  </sheetData>
  <dataValidations count="1">
    <dataValidation type="list" allowBlank="1" showInputMessage="1" showErrorMessage="1" sqref="D3">
      <formula1>LUV_Input_DropDown</formula1>
    </dataValidation>
  </dataValidations>
  <printOptions/>
  <pageMargins left="0.75" right="0.75" top="1" bottom="1" header="0.5" footer="0.5"/>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2:AC104"/>
  <sheetViews>
    <sheetView workbookViewId="0" topLeftCell="A1">
      <selection activeCell="D28" sqref="D28"/>
    </sheetView>
  </sheetViews>
  <sheetFormatPr defaultColWidth="9.140625" defaultRowHeight="12.75"/>
  <cols>
    <col min="2" max="2" width="10.28125" style="0" customWidth="1"/>
    <col min="3" max="5" width="10.140625" style="0" customWidth="1"/>
    <col min="6" max="6" width="8.28125" style="0" customWidth="1"/>
    <col min="7" max="7" width="9.8515625" style="0" customWidth="1"/>
    <col min="8" max="8" width="8.28125" style="0" customWidth="1"/>
    <col min="11" max="11" width="1.7109375" style="0" customWidth="1"/>
    <col min="13" max="13" width="26.8515625" style="0" customWidth="1"/>
    <col min="14" max="14" width="13.8515625" style="0" customWidth="1"/>
    <col min="28" max="28" width="22.140625" style="0" bestFit="1" customWidth="1"/>
    <col min="29" max="29" width="23.8515625" style="0" customWidth="1"/>
    <col min="30" max="30" width="11.8515625" style="0" bestFit="1" customWidth="1"/>
  </cols>
  <sheetData>
    <row r="1" ht="13.5" thickBot="1"/>
    <row r="2" spans="2:25" ht="13.5" thickBot="1">
      <c r="B2" s="5"/>
      <c r="C2" s="362" t="str">
        <f>M3</f>
        <v>I'd like you to start by deriving the Break Even formula.  Please complete the formula before asking me for feedback again.</v>
      </c>
      <c r="D2" s="363"/>
      <c r="E2" s="363"/>
      <c r="F2" s="363"/>
      <c r="G2" s="364"/>
      <c r="H2" s="242"/>
      <c r="I2" s="242"/>
      <c r="J2" s="242"/>
      <c r="M2" s="371" t="s">
        <v>130</v>
      </c>
      <c r="N2" s="372"/>
      <c r="O2" s="372"/>
      <c r="P2" s="372"/>
      <c r="Q2" s="372"/>
      <c r="R2" s="372"/>
      <c r="S2" s="372"/>
      <c r="T2" s="372"/>
      <c r="U2" s="372"/>
      <c r="V2" s="372"/>
      <c r="W2" s="372"/>
      <c r="X2" s="372"/>
      <c r="Y2" s="373"/>
    </row>
    <row r="3" spans="2:25" ht="13.5" thickBot="1">
      <c r="B3" s="5"/>
      <c r="C3" s="365"/>
      <c r="D3" s="366"/>
      <c r="E3" s="366"/>
      <c r="F3" s="366"/>
      <c r="G3" s="367"/>
      <c r="M3" s="374" t="str">
        <f>M104</f>
        <v>I'd like you to start by deriving the Break Even formula.  Please complete the formula before asking me for feedback again.</v>
      </c>
      <c r="N3" s="375"/>
      <c r="O3" s="375"/>
      <c r="P3" s="375"/>
      <c r="Q3" s="375"/>
      <c r="R3" s="375"/>
      <c r="S3" s="375"/>
      <c r="T3" s="375"/>
      <c r="U3" s="375"/>
      <c r="V3" s="375"/>
      <c r="W3" s="375"/>
      <c r="X3" s="375"/>
      <c r="Y3" s="376"/>
    </row>
    <row r="4" spans="2:7" ht="12.75">
      <c r="B4" s="5"/>
      <c r="C4" s="365"/>
      <c r="D4" s="366"/>
      <c r="E4" s="366"/>
      <c r="F4" s="366"/>
      <c r="G4" s="367"/>
    </row>
    <row r="5" spans="2:7" ht="13.5" thickBot="1">
      <c r="B5" s="5"/>
      <c r="C5" s="365"/>
      <c r="D5" s="366"/>
      <c r="E5" s="366"/>
      <c r="F5" s="366"/>
      <c r="G5" s="367"/>
    </row>
    <row r="6" spans="2:19" ht="12.75">
      <c r="B6" s="5"/>
      <c r="C6" s="365"/>
      <c r="D6" s="366"/>
      <c r="E6" s="366"/>
      <c r="F6" s="366"/>
      <c r="G6" s="367"/>
      <c r="M6" s="380" t="s">
        <v>380</v>
      </c>
      <c r="N6" s="381"/>
      <c r="O6" s="381"/>
      <c r="P6" s="381"/>
      <c r="Q6" s="381"/>
      <c r="R6" s="381"/>
      <c r="S6" s="382"/>
    </row>
    <row r="7" spans="2:19" ht="13.5" thickBot="1">
      <c r="B7" s="5"/>
      <c r="C7" s="365"/>
      <c r="D7" s="366"/>
      <c r="E7" s="366"/>
      <c r="F7" s="366"/>
      <c r="G7" s="367"/>
      <c r="M7" s="244" t="s">
        <v>381</v>
      </c>
      <c r="N7" s="383" t="s">
        <v>382</v>
      </c>
      <c r="O7" s="384"/>
      <c r="P7" s="384"/>
      <c r="Q7" s="384"/>
      <c r="R7" s="384"/>
      <c r="S7" s="385"/>
    </row>
    <row r="8" spans="2:7" ht="13.5" thickBot="1">
      <c r="B8" s="5"/>
      <c r="C8" s="365"/>
      <c r="D8" s="366"/>
      <c r="E8" s="366"/>
      <c r="F8" s="366"/>
      <c r="G8" s="367"/>
    </row>
    <row r="9" spans="2:25" ht="13.5" thickBot="1">
      <c r="B9" s="5"/>
      <c r="C9" s="365"/>
      <c r="D9" s="366"/>
      <c r="E9" s="366"/>
      <c r="F9" s="366"/>
      <c r="G9" s="367"/>
      <c r="M9" s="377"/>
      <c r="N9" s="378"/>
      <c r="O9" s="378"/>
      <c r="P9" s="378"/>
      <c r="Q9" s="378"/>
      <c r="R9" s="378"/>
      <c r="S9" s="378"/>
      <c r="T9" s="378"/>
      <c r="U9" s="378"/>
      <c r="V9" s="378"/>
      <c r="W9" s="378"/>
      <c r="X9" s="378"/>
      <c r="Y9" s="379"/>
    </row>
    <row r="10" spans="2:7" ht="13.5" thickBot="1">
      <c r="B10" s="5"/>
      <c r="C10" s="365"/>
      <c r="D10" s="366"/>
      <c r="E10" s="366"/>
      <c r="F10" s="366"/>
      <c r="G10" s="367"/>
    </row>
    <row r="11" spans="2:25" ht="12.75">
      <c r="B11" s="5"/>
      <c r="C11" s="365"/>
      <c r="D11" s="366"/>
      <c r="E11" s="366"/>
      <c r="F11" s="366"/>
      <c r="G11" s="367"/>
      <c r="M11" s="359" t="s">
        <v>383</v>
      </c>
      <c r="N11" s="360"/>
      <c r="O11" s="360"/>
      <c r="P11" s="360"/>
      <c r="Q11" s="360"/>
      <c r="R11" s="360"/>
      <c r="S11" s="360"/>
      <c r="T11" s="360"/>
      <c r="U11" s="360"/>
      <c r="V11" s="360"/>
      <c r="W11" s="360"/>
      <c r="X11" s="360"/>
      <c r="Y11" s="361"/>
    </row>
    <row r="12" spans="2:29" ht="12.75">
      <c r="B12" s="5"/>
      <c r="C12" s="365"/>
      <c r="D12" s="366"/>
      <c r="E12" s="366"/>
      <c r="F12" s="366"/>
      <c r="G12" s="367"/>
      <c r="M12" s="161" t="s">
        <v>367</v>
      </c>
      <c r="N12" s="162"/>
      <c r="O12" s="162"/>
      <c r="P12" s="162"/>
      <c r="Q12" s="162"/>
      <c r="R12" s="162"/>
      <c r="S12" s="162"/>
      <c r="T12" s="162"/>
      <c r="U12" s="162"/>
      <c r="V12" s="162"/>
      <c r="W12" s="162"/>
      <c r="X12" s="162"/>
      <c r="Y12" s="127"/>
      <c r="AC12" s="58"/>
    </row>
    <row r="13" spans="2:29" ht="11.25" customHeight="1">
      <c r="B13" s="5"/>
      <c r="C13" s="368"/>
      <c r="D13" s="369"/>
      <c r="E13" s="369"/>
      <c r="F13" s="369"/>
      <c r="G13" s="370"/>
      <c r="M13" s="115" t="str">
        <f>IF(COUNTIF(Calc_IN_BEF,"=0")=3,N13,"")</f>
        <v>I'd like you to start by deriving the Break Even formula.  Please complete the formula before asking me for feedback again.</v>
      </c>
      <c r="N13" s="158" t="s">
        <v>384</v>
      </c>
      <c r="O13" s="159"/>
      <c r="P13" s="159"/>
      <c r="Q13" s="159"/>
      <c r="R13" s="159"/>
      <c r="S13" s="159"/>
      <c r="T13" s="159"/>
      <c r="U13" s="159"/>
      <c r="V13" s="159"/>
      <c r="W13" s="159"/>
      <c r="X13" s="159"/>
      <c r="Y13" s="160"/>
      <c r="AC13" s="58"/>
    </row>
    <row r="15" spans="13:25" ht="12.75">
      <c r="M15" s="161" t="s">
        <v>371</v>
      </c>
      <c r="N15" s="162"/>
      <c r="O15" s="162"/>
      <c r="P15" s="162"/>
      <c r="Q15" s="162"/>
      <c r="R15" s="162"/>
      <c r="S15" s="162"/>
      <c r="T15" s="162"/>
      <c r="U15" s="162"/>
      <c r="V15" s="162"/>
      <c r="W15" s="162"/>
      <c r="X15" s="162"/>
      <c r="Y15" s="127"/>
    </row>
    <row r="16" spans="13:25" ht="12.75">
      <c r="M16" s="115">
        <f>IF(AND(COUNTIF(Calc_IN_BEF,"=0")&lt;3,COUNTIF(Calc_IN_BEF,"=0")&gt;0),N16,"")</f>
      </c>
      <c r="N16" s="158" t="s">
        <v>385</v>
      </c>
      <c r="O16" s="159"/>
      <c r="P16" s="159"/>
      <c r="Q16" s="159"/>
      <c r="R16" s="159"/>
      <c r="S16" s="159"/>
      <c r="T16" s="159"/>
      <c r="U16" s="159"/>
      <c r="V16" s="159"/>
      <c r="W16" s="159"/>
      <c r="X16" s="159"/>
      <c r="Y16" s="160"/>
    </row>
    <row r="18" spans="13:25" ht="12.75">
      <c r="M18" s="161" t="s">
        <v>386</v>
      </c>
      <c r="N18" s="162"/>
      <c r="O18" s="162"/>
      <c r="P18" s="162"/>
      <c r="Q18" s="162"/>
      <c r="R18" s="162"/>
      <c r="S18" s="162"/>
      <c r="T18" s="162"/>
      <c r="U18" s="162"/>
      <c r="V18" s="162"/>
      <c r="W18" s="162"/>
      <c r="X18" s="162"/>
      <c r="Y18" s="127"/>
    </row>
    <row r="19" spans="13:25" ht="12.75">
      <c r="M19" s="115">
        <f>IF(AND(M13="",M16="",Calc_IN_BEFPos1&lt;&gt;LUV_BEF_Price,Calc_IN_BEFPos2&lt;&gt;LUV_BEF_VarCost,Calc_IN_BEFPos3&lt;&gt;LUV_BEF_FixedCost),N19,"")</f>
      </c>
      <c r="N19" s="241" t="s">
        <v>430</v>
      </c>
      <c r="O19" s="159"/>
      <c r="P19" s="159"/>
      <c r="Q19" s="159"/>
      <c r="R19" s="159"/>
      <c r="S19" s="159"/>
      <c r="T19" s="159"/>
      <c r="U19" s="159"/>
      <c r="V19" s="159"/>
      <c r="W19" s="159"/>
      <c r="X19" s="159"/>
      <c r="Y19" s="160"/>
    </row>
    <row r="21" spans="3:29" ht="12.75">
      <c r="C21" s="5"/>
      <c r="D21" s="5"/>
      <c r="E21" s="5"/>
      <c r="F21" s="5"/>
      <c r="G21" s="5"/>
      <c r="M21" s="161" t="s">
        <v>387</v>
      </c>
      <c r="N21" s="162"/>
      <c r="O21" s="162"/>
      <c r="P21" s="162"/>
      <c r="Q21" s="162"/>
      <c r="R21" s="162"/>
      <c r="S21" s="162"/>
      <c r="T21" s="162"/>
      <c r="U21" s="162"/>
      <c r="V21" s="162"/>
      <c r="W21" s="162"/>
      <c r="X21" s="162"/>
      <c r="Y21" s="127"/>
      <c r="AC21" s="58"/>
    </row>
    <row r="22" spans="3:29" ht="12.75" customHeight="1">
      <c r="C22" s="5"/>
      <c r="D22" s="5"/>
      <c r="E22" s="5"/>
      <c r="F22" s="5"/>
      <c r="G22" s="5"/>
      <c r="M22" s="115">
        <f>IF(AND(OR(Calc_IN_BEFPos1&lt;&gt;LUV_BEF_Price,Calc_IN_BEFPos2&lt;&gt;LUV_BEF_VarCost,Calc_IN_BEFPos3&lt;&gt;LUV_BEF_FixedCost),M13="",M16="",M18=""),N22&amp;N25&amp;N28&amp;N31&amp;N34&amp;N37,"")</f>
      </c>
      <c r="N22" s="241" t="s">
        <v>388</v>
      </c>
      <c r="O22" s="159"/>
      <c r="P22" s="159"/>
      <c r="Q22" s="159"/>
      <c r="R22" s="159"/>
      <c r="S22" s="159"/>
      <c r="T22" s="159"/>
      <c r="U22" s="159"/>
      <c r="V22" s="159"/>
      <c r="W22" s="159"/>
      <c r="X22" s="159"/>
      <c r="Y22" s="160"/>
      <c r="AC22" s="58"/>
    </row>
    <row r="23" spans="3:7" ht="12.75" customHeight="1">
      <c r="C23" s="5"/>
      <c r="D23" s="5"/>
      <c r="E23" s="5"/>
      <c r="F23" s="5"/>
      <c r="G23" s="5"/>
    </row>
    <row r="24" spans="1:25" ht="12.75">
      <c r="A24" s="403" t="s">
        <v>290</v>
      </c>
      <c r="B24" s="403"/>
      <c r="C24" s="403"/>
      <c r="D24" s="403"/>
      <c r="E24" s="403"/>
      <c r="F24" s="403"/>
      <c r="G24" s="403"/>
      <c r="H24" s="403"/>
      <c r="N24" s="161" t="s">
        <v>389</v>
      </c>
      <c r="O24" s="162"/>
      <c r="P24" s="162"/>
      <c r="Q24" s="162"/>
      <c r="R24" s="162"/>
      <c r="S24" s="162"/>
      <c r="T24" s="162"/>
      <c r="U24" s="162"/>
      <c r="V24" s="162"/>
      <c r="W24" s="162"/>
      <c r="X24" s="162"/>
      <c r="Y24" s="127"/>
    </row>
    <row r="25" spans="1:25" ht="12.75">
      <c r="A25" s="403"/>
      <c r="B25" s="403"/>
      <c r="C25" s="403"/>
      <c r="D25" s="403"/>
      <c r="E25" s="403"/>
      <c r="F25" s="403"/>
      <c r="G25" s="403"/>
      <c r="H25" s="403"/>
      <c r="N25" s="240">
        <f>IF(AND(Calc_IN_BEFPos1&lt;&gt;0,Calc_IN_BEFPos1&lt;&gt;LUV_BEF_Price),O25,"")</f>
      </c>
      <c r="O25" s="158" t="str">
        <f>"The correct answer for the first variable is not "&amp;Calc_IN_BEFPos1&amp;".  On the left side of the equation you should be trying to compute revenues.  Revenue = ___?___ x Volume?
"</f>
        <v>The correct answer for the first variable is not 0.  On the left side of the equation you should be trying to compute revenues.  Revenue = ___?___ x Volume?
</v>
      </c>
      <c r="P25" s="159"/>
      <c r="Q25" s="159"/>
      <c r="R25" s="159"/>
      <c r="S25" s="159"/>
      <c r="T25" s="159"/>
      <c r="U25" s="159"/>
      <c r="V25" s="159"/>
      <c r="W25" s="159"/>
      <c r="X25" s="159"/>
      <c r="Y25" s="160"/>
    </row>
    <row r="26" spans="1:29" ht="12.75">
      <c r="A26" s="403"/>
      <c r="B26" s="403"/>
      <c r="C26" s="403"/>
      <c r="D26" s="403"/>
      <c r="E26" s="403"/>
      <c r="F26" s="403"/>
      <c r="G26" s="403"/>
      <c r="H26" s="403"/>
      <c r="AA26" s="245"/>
      <c r="AC26" s="58"/>
    </row>
    <row r="27" spans="3:25" ht="12.75">
      <c r="C27" s="5"/>
      <c r="D27" s="5"/>
      <c r="E27" s="5"/>
      <c r="F27" s="5"/>
      <c r="G27" s="5"/>
      <c r="N27" s="161" t="s">
        <v>390</v>
      </c>
      <c r="O27" s="162"/>
      <c r="P27" s="162"/>
      <c r="Q27" s="162"/>
      <c r="R27" s="162"/>
      <c r="S27" s="162"/>
      <c r="T27" s="162"/>
      <c r="U27" s="162"/>
      <c r="V27" s="162"/>
      <c r="W27" s="162"/>
      <c r="X27" s="162"/>
      <c r="Y27" s="127"/>
    </row>
    <row r="28" spans="3:25" ht="12.75">
      <c r="C28" s="5"/>
      <c r="D28" s="5"/>
      <c r="E28" s="5"/>
      <c r="F28" s="5"/>
      <c r="G28" s="5"/>
      <c r="N28" s="240">
        <f>IF(AND(Calc_IN_BEFPos2&lt;&gt;"",OR(Calc_IN_BEFPos2=LUV_BEF_RawMat,Calc_IN_BEFPos2=LUV_BEF_Labor,Calc_IN_BEFPos2=LUV_BEF_Outsource)),O28,"")</f>
      </c>
      <c r="O28" s="158" t="str">
        <f>"For the second variable, "&amp;Calc_IN_BEFPos2&amp;" is close, but it is not the best choice.  Select the variable that includes ALL volume-dependent costs, not just one of them.
"</f>
        <v>For the second variable, 0 is close, but it is not the best choice.  Select the variable that includes ALL volume-dependent costs, not just one of them.
</v>
      </c>
      <c r="P28" s="159"/>
      <c r="Q28" s="159"/>
      <c r="R28" s="159"/>
      <c r="S28" s="159"/>
      <c r="T28" s="159"/>
      <c r="U28" s="159"/>
      <c r="V28" s="159"/>
      <c r="W28" s="159"/>
      <c r="X28" s="159"/>
      <c r="Y28" s="160"/>
    </row>
    <row r="29" spans="3:7" ht="15">
      <c r="C29" s="5"/>
      <c r="D29" s="246"/>
      <c r="E29" s="246"/>
      <c r="F29" s="246"/>
      <c r="G29" s="5"/>
    </row>
    <row r="30" spans="3:25" ht="15">
      <c r="C30" s="5"/>
      <c r="D30" s="246"/>
      <c r="E30" s="246"/>
      <c r="F30" s="246"/>
      <c r="G30" s="5"/>
      <c r="N30" s="161" t="s">
        <v>391</v>
      </c>
      <c r="O30" s="162"/>
      <c r="P30" s="162"/>
      <c r="Q30" s="162"/>
      <c r="R30" s="162"/>
      <c r="S30" s="162"/>
      <c r="T30" s="162"/>
      <c r="U30" s="162"/>
      <c r="V30" s="162"/>
      <c r="W30" s="162"/>
      <c r="X30" s="162"/>
      <c r="Y30" s="127"/>
    </row>
    <row r="31" spans="14:25" ht="12.75">
      <c r="N31" s="240">
        <f>IF(AND(Calc_IN_BEFPos2&lt;&gt;0,N28="",Calc_IN_BEFPos2&lt;&gt;LUV_BEF_VarCost),O31,"")</f>
      </c>
      <c r="O31" s="241" t="s">
        <v>392</v>
      </c>
      <c r="P31" s="159"/>
      <c r="Q31" s="159"/>
      <c r="R31" s="159"/>
      <c r="S31" s="159"/>
      <c r="T31" s="159"/>
      <c r="U31" s="159"/>
      <c r="V31" s="159"/>
      <c r="W31" s="159"/>
      <c r="X31" s="159"/>
      <c r="Y31" s="160"/>
    </row>
    <row r="33" spans="14:25" ht="12.75">
      <c r="N33" s="161" t="s">
        <v>393</v>
      </c>
      <c r="O33" s="162"/>
      <c r="P33" s="162"/>
      <c r="Q33" s="162"/>
      <c r="R33" s="162"/>
      <c r="S33" s="162"/>
      <c r="T33" s="162"/>
      <c r="U33" s="162"/>
      <c r="V33" s="162"/>
      <c r="W33" s="162"/>
      <c r="X33" s="162"/>
      <c r="Y33" s="127"/>
    </row>
    <row r="34" spans="14:25" ht="12.75">
      <c r="N34" s="240">
        <f>IF(AND(Calc_IN_BEFPos3&lt;&gt;"",OR(Calc_IN_BEFPos3=LUV_BEF_Machinery,Calc_IN_BEFPos3=LUV_BEF_Plant,Calc_IN_BEFPos3=LUV_BEF_MktInvest)),O34,"")</f>
      </c>
      <c r="O34" s="158" t="str">
        <f>"For the third variable, "&amp;Calc_IN_BEFPos3&amp;" is close.  You are correct that this variable should not be volume dependent, but you should select the variable that represents ALL costs that are not volume-dependent costs.
"</f>
        <v>For the third variable, 0 is close.  You are correct that this variable should not be volume dependent, but you should select the variable that represents ALL costs that are not volume-dependent costs.
</v>
      </c>
      <c r="P34" s="159"/>
      <c r="Q34" s="159"/>
      <c r="R34" s="159"/>
      <c r="S34" s="159"/>
      <c r="T34" s="159"/>
      <c r="U34" s="159"/>
      <c r="V34" s="159"/>
      <c r="W34" s="159"/>
      <c r="X34" s="159"/>
      <c r="Y34" s="160"/>
    </row>
    <row r="36" spans="14:25" ht="12.75">
      <c r="N36" s="161" t="s">
        <v>394</v>
      </c>
      <c r="O36" s="162"/>
      <c r="P36" s="162"/>
      <c r="Q36" s="162"/>
      <c r="R36" s="162"/>
      <c r="S36" s="162"/>
      <c r="T36" s="162"/>
      <c r="U36" s="162"/>
      <c r="V36" s="162"/>
      <c r="W36" s="162"/>
      <c r="X36" s="162"/>
      <c r="Y36" s="127"/>
    </row>
    <row r="37" spans="14:25" ht="12.75">
      <c r="N37" s="240">
        <f>IF(AND(Calc_IN_BEFPos3&lt;&gt;0,N34="",Calc_IN_BEFPos3&lt;&gt;LUV_BEF_FixedCost),O37,"")</f>
      </c>
      <c r="O37" s="241" t="s">
        <v>395</v>
      </c>
      <c r="P37" s="159"/>
      <c r="Q37" s="159"/>
      <c r="R37" s="159"/>
      <c r="S37" s="159"/>
      <c r="T37" s="159"/>
      <c r="U37" s="159"/>
      <c r="V37" s="159"/>
      <c r="W37" s="159"/>
      <c r="X37" s="159"/>
      <c r="Y37" s="160"/>
    </row>
    <row r="38" spans="14:25" ht="13.5" thickBot="1">
      <c r="N38" s="247"/>
      <c r="O38" s="6"/>
      <c r="P38" s="6"/>
      <c r="Q38" s="6"/>
      <c r="R38" s="6"/>
      <c r="S38" s="6"/>
      <c r="T38" s="6"/>
      <c r="U38" s="6"/>
      <c r="V38" s="6"/>
      <c r="W38" s="6"/>
      <c r="X38" s="6"/>
      <c r="Y38" s="6"/>
    </row>
    <row r="39" spans="13:29" ht="12.75">
      <c r="M39" s="359" t="s">
        <v>396</v>
      </c>
      <c r="N39" s="360"/>
      <c r="O39" s="360"/>
      <c r="P39" s="360"/>
      <c r="Q39" s="360"/>
      <c r="R39" s="360"/>
      <c r="S39" s="360"/>
      <c r="T39" s="360"/>
      <c r="U39" s="360"/>
      <c r="V39" s="360"/>
      <c r="W39" s="360"/>
      <c r="X39" s="360"/>
      <c r="Y39" s="361"/>
      <c r="AC39" s="58"/>
    </row>
    <row r="40" spans="13:25" ht="12.75">
      <c r="M40" s="161" t="s">
        <v>397</v>
      </c>
      <c r="N40" s="162"/>
      <c r="O40" s="162"/>
      <c r="P40" s="162"/>
      <c r="Q40" s="162"/>
      <c r="R40" s="162"/>
      <c r="S40" s="162"/>
      <c r="T40" s="162"/>
      <c r="U40" s="162"/>
      <c r="V40" s="162"/>
      <c r="W40" s="162"/>
      <c r="X40" s="162"/>
      <c r="Y40" s="127"/>
    </row>
    <row r="41" spans="13:25" ht="12.75">
      <c r="M41" s="115" t="str">
        <f>IF(OR(ISNA(Calc_IN_CC_Plant),ISNA(Calc_IN_CC_MktInvest),ISNA(Calc_IN_CC_Labor),ISNA(Calc_IN_CC_RawMat),ISNA(Calc_IN_CC_Machinery),ISNA(Calc_IN_CC_Tools),ISNA(Calc_IN_CC_Outsource)),N41,"")</f>
        <v>Now that the Break Even formula is complete, I'd like you to classify all of the costs.  It is very important that this is done correctly.  If it is not, the analysis will be worthless.</v>
      </c>
      <c r="N41" s="158" t="s">
        <v>398</v>
      </c>
      <c r="O41" s="159"/>
      <c r="P41" s="159"/>
      <c r="Q41" s="159"/>
      <c r="R41" s="159"/>
      <c r="S41" s="159"/>
      <c r="T41" s="159"/>
      <c r="U41" s="159"/>
      <c r="V41" s="159"/>
      <c r="W41" s="159"/>
      <c r="X41" s="159"/>
      <c r="Y41" s="160"/>
    </row>
    <row r="43" spans="13:25" ht="12.75">
      <c r="M43" s="161" t="s">
        <v>399</v>
      </c>
      <c r="N43" s="162"/>
      <c r="O43" s="162"/>
      <c r="P43" s="162"/>
      <c r="Q43" s="162"/>
      <c r="R43" s="162"/>
      <c r="S43" s="162"/>
      <c r="T43" s="162"/>
      <c r="U43" s="162"/>
      <c r="V43" s="162"/>
      <c r="W43" s="162"/>
      <c r="X43" s="162"/>
      <c r="Y43" s="127"/>
    </row>
    <row r="44" spans="13:25" ht="12.75">
      <c r="M44" s="115">
        <f>IF(OR(ISNA(Calc_IN_CC_Plant),ISNA(Calc_IN_CC_MktInvest),ISNA(Calc_IN_CC_Labor),ISNA(Calc_IN_CC_RawMat),ISNA(Calc_IN_CC_Machinery),ISNA(Calc_IN_CC_Tools),ISNA(Calc_IN_CC_Outsource)),"",IF(AND(M41="",Calc_IN_CC_Plant=LUV_OptionButton_CC_Variable,Calc_IN_CC_MktInvest=LUV_OptionButton_CC_Variable,Calc_IN_CC_Labor=LUV_OptionButton_CC_Fixed,Calc_IN_CC_RawMat=LUV_OptionButton_CC_Fixed,Calc_IN_CC_Machinery=LUV_OptionButton_CC_Variable,Calc_IN_CC_Tools=LUV_OptionButton_CC_Variable,Calc_IN_CC_Outsource=LUV_OptionButton_CC_Variable),N44,""))</f>
      </c>
      <c r="N44" s="241" t="s">
        <v>431</v>
      </c>
      <c r="O44" s="159"/>
      <c r="P44" s="159"/>
      <c r="Q44" s="159"/>
      <c r="R44" s="159"/>
      <c r="S44" s="159"/>
      <c r="T44" s="159"/>
      <c r="U44" s="159"/>
      <c r="V44" s="159"/>
      <c r="W44" s="159"/>
      <c r="X44" s="159"/>
      <c r="Y44" s="160"/>
    </row>
    <row r="46" spans="13:25" ht="12.75">
      <c r="M46" s="161" t="s">
        <v>400</v>
      </c>
      <c r="N46" s="162"/>
      <c r="O46" s="162"/>
      <c r="P46" s="162"/>
      <c r="Q46" s="162"/>
      <c r="R46" s="162"/>
      <c r="S46" s="162"/>
      <c r="T46" s="162"/>
      <c r="U46" s="162"/>
      <c r="V46" s="162"/>
      <c r="W46" s="162"/>
      <c r="X46" s="162"/>
      <c r="Y46" s="127"/>
    </row>
    <row r="47" spans="13:25" ht="12.75">
      <c r="M47" s="115">
        <f>IF(OR(ISNA(Calc_IN_CC_Plant),ISNA(Calc_IN_CC_MktInvest),ISNA(Calc_IN_CC_Labor),ISNA(Calc_IN_CC_RawMat),ISNA(Calc_IN_CC_Machinery),ISNA(Calc_IN_CC_Tools),ISNA(Calc_IN_CC_Outsource)),"",IF(OR(Calc_IN_CC_Plant_Display&lt;&gt;LUV_OptionButton_CC_Fixed,Calc_IN_CC_MktInvest_Display&lt;&gt;LUV_OptionButton_CC_Fixed,Calc_IN_CC_Labor_Display&lt;&gt;LUV_OptionButton_CC_Variable,Calc_IN_CC_RawMat_Display&lt;&gt;LUV_OptionButton_CC_Variable,Calc_IN_CC_Machinery_Display&lt;&gt;LUV_OptionButton_CC_Fixed,Calc_IN_CC_Tools_Display&lt;&gt;LUV_OptionButton_CC_Fixed,Calc_IN_CC_Outsource_Display&lt;&gt;LUV_OptionButton_CC_Variable),N47&amp;N50&amp;N53&amp;N56&amp;N59&amp;N62&amp;N65&amp;N68,""))</f>
      </c>
      <c r="N47" s="241" t="s">
        <v>401</v>
      </c>
      <c r="O47" s="159"/>
      <c r="P47" s="159"/>
      <c r="Q47" s="159"/>
      <c r="R47" s="159"/>
      <c r="S47" s="159"/>
      <c r="T47" s="159"/>
      <c r="U47" s="159"/>
      <c r="V47" s="159"/>
      <c r="W47" s="159"/>
      <c r="X47" s="159"/>
      <c r="Y47" s="160"/>
    </row>
    <row r="49" spans="14:25" ht="12.75">
      <c r="N49" s="161" t="s">
        <v>402</v>
      </c>
      <c r="O49" s="162"/>
      <c r="P49" s="162"/>
      <c r="Q49" s="162"/>
      <c r="R49" s="162"/>
      <c r="S49" s="162"/>
      <c r="T49" s="162"/>
      <c r="U49" s="162"/>
      <c r="V49" s="162"/>
      <c r="W49" s="162"/>
      <c r="X49" s="162"/>
      <c r="Y49" s="127"/>
    </row>
    <row r="50" spans="14:25" ht="12.75">
      <c r="N50" s="115">
        <f>IF(ISNA(Calc_IN_CC_Plant),"",IF(Calc_IN_CC_Plant_Display&lt;&gt;LUV_OptionButton_CC_Fixed,O50,""))</f>
      </c>
      <c r="O50" s="241" t="s">
        <v>403</v>
      </c>
      <c r="P50" s="159"/>
      <c r="Q50" s="159"/>
      <c r="R50" s="159"/>
      <c r="S50" s="159"/>
      <c r="T50" s="159"/>
      <c r="U50" s="159"/>
      <c r="V50" s="159"/>
      <c r="W50" s="159"/>
      <c r="X50" s="159"/>
      <c r="Y50" s="160"/>
    </row>
    <row r="52" spans="14:25" ht="12.75">
      <c r="N52" s="161" t="s">
        <v>404</v>
      </c>
      <c r="O52" s="162"/>
      <c r="P52" s="162"/>
      <c r="Q52" s="162"/>
      <c r="R52" s="162"/>
      <c r="S52" s="162"/>
      <c r="T52" s="162"/>
      <c r="U52" s="162"/>
      <c r="V52" s="162"/>
      <c r="W52" s="162"/>
      <c r="X52" s="162"/>
      <c r="Y52" s="127"/>
    </row>
    <row r="53" spans="14:25" ht="12.75">
      <c r="N53" s="115">
        <f>IF(ISNA(Calc_IN_CC_MktInvest),"",IF(Calc_IN_CC_MktInvest_Display&lt;&gt;LUV_OptionButton_CC_Fixed,O53,""))</f>
      </c>
      <c r="O53" s="241" t="s">
        <v>405</v>
      </c>
      <c r="P53" s="159"/>
      <c r="Q53" s="159"/>
      <c r="R53" s="159"/>
      <c r="S53" s="159"/>
      <c r="T53" s="159"/>
      <c r="U53" s="159"/>
      <c r="V53" s="159"/>
      <c r="W53" s="159"/>
      <c r="X53" s="159"/>
      <c r="Y53" s="160"/>
    </row>
    <row r="55" spans="14:25" ht="12.75">
      <c r="N55" s="161" t="s">
        <v>406</v>
      </c>
      <c r="O55" s="162"/>
      <c r="P55" s="162"/>
      <c r="Q55" s="162"/>
      <c r="R55" s="162"/>
      <c r="S55" s="162"/>
      <c r="T55" s="162"/>
      <c r="U55" s="162"/>
      <c r="V55" s="162"/>
      <c r="W55" s="162"/>
      <c r="X55" s="162"/>
      <c r="Y55" s="127"/>
    </row>
    <row r="56" spans="14:25" ht="12.75">
      <c r="N56" s="115">
        <f>IF(ISNA(Calc_IN_CC_Labor),"",IF(Calc_IN_CC_Labor_Display&lt;&gt;LUV_OptionButton_CC_Variable,O56,""))</f>
      </c>
      <c r="O56" s="241" t="s">
        <v>407</v>
      </c>
      <c r="P56" s="159"/>
      <c r="Q56" s="159"/>
      <c r="R56" s="159"/>
      <c r="S56" s="159"/>
      <c r="T56" s="159"/>
      <c r="U56" s="159"/>
      <c r="V56" s="159"/>
      <c r="W56" s="159"/>
      <c r="X56" s="159"/>
      <c r="Y56" s="160"/>
    </row>
    <row r="58" spans="14:25" ht="12.75">
      <c r="N58" s="161" t="s">
        <v>408</v>
      </c>
      <c r="O58" s="162"/>
      <c r="P58" s="162"/>
      <c r="Q58" s="162"/>
      <c r="R58" s="162"/>
      <c r="S58" s="162"/>
      <c r="T58" s="162"/>
      <c r="U58" s="162"/>
      <c r="V58" s="162"/>
      <c r="W58" s="162"/>
      <c r="X58" s="162"/>
      <c r="Y58" s="127"/>
    </row>
    <row r="59" spans="14:25" ht="12.75">
      <c r="N59" s="115">
        <f>IF(ISNA(Calc_IN_CC_RawMat),"",IF(Calc_IN_CC_RawMat_Display&lt;&gt;LUV_OptionButton_CC_Variable,O59,""))</f>
      </c>
      <c r="O59" s="241" t="s">
        <v>409</v>
      </c>
      <c r="P59" s="159"/>
      <c r="Q59" s="159"/>
      <c r="R59" s="159"/>
      <c r="S59" s="159"/>
      <c r="T59" s="159"/>
      <c r="U59" s="159"/>
      <c r="V59" s="159"/>
      <c r="W59" s="159"/>
      <c r="X59" s="159"/>
      <c r="Y59" s="160"/>
    </row>
    <row r="61" spans="14:25" ht="12.75">
      <c r="N61" s="161" t="s">
        <v>410</v>
      </c>
      <c r="O61" s="162"/>
      <c r="P61" s="162"/>
      <c r="Q61" s="162"/>
      <c r="R61" s="162"/>
      <c r="S61" s="162"/>
      <c r="T61" s="162"/>
      <c r="U61" s="162"/>
      <c r="V61" s="162"/>
      <c r="W61" s="162"/>
      <c r="X61" s="162"/>
      <c r="Y61" s="127"/>
    </row>
    <row r="62" spans="14:25" ht="12.75">
      <c r="N62" s="115">
        <f>IF(ISNA(Calc_IN_CC_Machinery),"",IF(Calc_IN_CC_Machinery_Display&lt;&gt;LUV_OptionButton_CC_Fixed,O62,""))</f>
      </c>
      <c r="O62" s="241" t="s">
        <v>411</v>
      </c>
      <c r="P62" s="159"/>
      <c r="Q62" s="159"/>
      <c r="R62" s="159"/>
      <c r="S62" s="159"/>
      <c r="T62" s="159"/>
      <c r="U62" s="159"/>
      <c r="V62" s="159"/>
      <c r="W62" s="159"/>
      <c r="X62" s="159"/>
      <c r="Y62" s="160"/>
    </row>
    <row r="64" spans="14:25" ht="12.75">
      <c r="N64" s="161" t="s">
        <v>412</v>
      </c>
      <c r="O64" s="162"/>
      <c r="P64" s="162"/>
      <c r="Q64" s="162"/>
      <c r="R64" s="162"/>
      <c r="S64" s="162"/>
      <c r="T64" s="162"/>
      <c r="U64" s="162"/>
      <c r="V64" s="162"/>
      <c r="W64" s="162"/>
      <c r="X64" s="162"/>
      <c r="Y64" s="127"/>
    </row>
    <row r="65" spans="14:25" ht="12.75">
      <c r="N65" s="115">
        <f>IF(ISNA(Calc_IN_CC_Tools),"",IF(Calc_IN_CC_Tools_Display&lt;&gt;LUV_OptionButton_CC_Fixed,O65,""))</f>
      </c>
      <c r="O65" s="241" t="s">
        <v>413</v>
      </c>
      <c r="P65" s="159"/>
      <c r="Q65" s="159"/>
      <c r="R65" s="159"/>
      <c r="S65" s="159"/>
      <c r="T65" s="159"/>
      <c r="U65" s="159"/>
      <c r="V65" s="159"/>
      <c r="W65" s="159"/>
      <c r="X65" s="159"/>
      <c r="Y65" s="160"/>
    </row>
    <row r="67" spans="14:25" ht="12.75">
      <c r="N67" s="161" t="s">
        <v>414</v>
      </c>
      <c r="O67" s="162"/>
      <c r="P67" s="162"/>
      <c r="Q67" s="162"/>
      <c r="R67" s="162"/>
      <c r="S67" s="162"/>
      <c r="T67" s="162"/>
      <c r="U67" s="162"/>
      <c r="V67" s="162"/>
      <c r="W67" s="162"/>
      <c r="X67" s="162"/>
      <c r="Y67" s="127"/>
    </row>
    <row r="68" spans="14:25" ht="12.75">
      <c r="N68" s="115">
        <f>IF(ISNA(Calc_IN_CC_Outsource),"",IF(Calc_IN_CC_Outsource_Display&lt;&gt;LUV_OptionButton_CC_Variable,O68,""))</f>
      </c>
      <c r="O68" s="241" t="s">
        <v>415</v>
      </c>
      <c r="P68" s="159"/>
      <c r="Q68" s="159"/>
      <c r="R68" s="159"/>
      <c r="S68" s="159"/>
      <c r="T68" s="159"/>
      <c r="U68" s="159"/>
      <c r="V68" s="159"/>
      <c r="W68" s="159"/>
      <c r="X68" s="159"/>
      <c r="Y68" s="160"/>
    </row>
    <row r="69" ht="13.5" thickBot="1"/>
    <row r="70" spans="13:25" ht="12.75">
      <c r="M70" s="359" t="s">
        <v>416</v>
      </c>
      <c r="N70" s="360"/>
      <c r="O70" s="360"/>
      <c r="P70" s="360"/>
      <c r="Q70" s="360"/>
      <c r="R70" s="360"/>
      <c r="S70" s="360"/>
      <c r="T70" s="360"/>
      <c r="U70" s="360"/>
      <c r="V70" s="360"/>
      <c r="W70" s="360"/>
      <c r="X70" s="360"/>
      <c r="Y70" s="361"/>
    </row>
    <row r="71" spans="13:25" ht="12.75">
      <c r="M71" s="161" t="s">
        <v>263</v>
      </c>
      <c r="N71" s="162"/>
      <c r="O71" s="162"/>
      <c r="P71" s="162"/>
      <c r="Q71" s="162"/>
      <c r="R71" s="162"/>
      <c r="S71" s="162"/>
      <c r="T71" s="162"/>
      <c r="U71" s="162"/>
      <c r="V71" s="162"/>
      <c r="W71" s="162"/>
      <c r="X71" s="162"/>
      <c r="Y71" s="127"/>
    </row>
    <row r="72" spans="13:25" ht="12.75">
      <c r="M72" s="115" t="str">
        <f>IF(ISNA(Calc_IN_Plant),N72,"")</f>
        <v>You haven't decided whether or not we are going to buy or lease the physical plant.  This decision has a major impact on the analysis so it doesn't make sense for me to look at the results until you've made a decision.</v>
      </c>
      <c r="N72" s="158" t="s">
        <v>417</v>
      </c>
      <c r="O72" s="159"/>
      <c r="P72" s="159"/>
      <c r="Q72" s="159"/>
      <c r="R72" s="159"/>
      <c r="S72" s="159"/>
      <c r="T72" s="159"/>
      <c r="U72" s="159"/>
      <c r="V72" s="159"/>
      <c r="W72" s="159"/>
      <c r="X72" s="159"/>
      <c r="Y72" s="160"/>
    </row>
    <row r="74" spans="13:25" ht="12.75">
      <c r="M74" s="161" t="s">
        <v>264</v>
      </c>
      <c r="N74" s="162"/>
      <c r="O74" s="162"/>
      <c r="P74" s="162"/>
      <c r="Q74" s="162"/>
      <c r="R74" s="162"/>
      <c r="S74" s="162"/>
      <c r="T74" s="162"/>
      <c r="U74" s="162"/>
      <c r="V74" s="162"/>
      <c r="W74" s="162"/>
      <c r="X74" s="162"/>
      <c r="Y74" s="127"/>
    </row>
    <row r="75" spans="13:25" ht="12.75">
      <c r="M75" s="115">
        <f>IF(AND(M72="",Calc_OUT_KPI_VarCost&gt;Calc_IN_Price),N75,"")</f>
      </c>
      <c r="N75" s="241" t="s">
        <v>432</v>
      </c>
      <c r="O75" s="159"/>
      <c r="P75" s="159"/>
      <c r="Q75" s="159"/>
      <c r="R75" s="159"/>
      <c r="S75" s="159"/>
      <c r="T75" s="159"/>
      <c r="U75" s="159"/>
      <c r="V75" s="159"/>
      <c r="W75" s="159"/>
      <c r="X75" s="159"/>
      <c r="Y75" s="160"/>
    </row>
    <row r="76" spans="16:25" ht="12.75">
      <c r="P76" s="6"/>
      <c r="Q76" s="6"/>
      <c r="R76" s="6"/>
      <c r="S76" s="6"/>
      <c r="T76" s="6"/>
      <c r="U76" s="6"/>
      <c r="V76" s="6"/>
      <c r="W76" s="6"/>
      <c r="X76" s="6"/>
      <c r="Y76" s="6"/>
    </row>
    <row r="77" spans="13:25" ht="12.75">
      <c r="M77" s="161" t="s">
        <v>418</v>
      </c>
      <c r="N77" s="162"/>
      <c r="O77" s="162"/>
      <c r="P77" s="162"/>
      <c r="Q77" s="162"/>
      <c r="R77" s="162"/>
      <c r="S77" s="162"/>
      <c r="T77" s="162"/>
      <c r="U77" s="162"/>
      <c r="V77" s="162"/>
      <c r="W77" s="162"/>
      <c r="X77" s="162"/>
      <c r="Y77" s="127"/>
    </row>
    <row r="78" spans="13:25" ht="12.75">
      <c r="M78" s="115">
        <f>IF(AND(M72="",M75="",Calc_OUT_KPI_BEYears&gt;2),N78,"")</f>
      </c>
      <c r="N78" s="158" t="s">
        <v>419</v>
      </c>
      <c r="O78" s="159"/>
      <c r="P78" s="159"/>
      <c r="Q78" s="159"/>
      <c r="R78" s="159"/>
      <c r="S78" s="159"/>
      <c r="T78" s="159"/>
      <c r="U78" s="159"/>
      <c r="V78" s="159"/>
      <c r="W78" s="159"/>
      <c r="X78" s="159"/>
      <c r="Y78" s="160"/>
    </row>
    <row r="80" spans="13:25" ht="12.75">
      <c r="M80" s="161" t="s">
        <v>420</v>
      </c>
      <c r="N80" s="162"/>
      <c r="O80" s="162"/>
      <c r="P80" s="162"/>
      <c r="Q80" s="162"/>
      <c r="R80" s="162"/>
      <c r="S80" s="162"/>
      <c r="T80" s="162"/>
      <c r="U80" s="162"/>
      <c r="V80" s="162"/>
      <c r="W80" s="162"/>
      <c r="X80" s="162"/>
      <c r="Y80" s="127"/>
    </row>
    <row r="81" spans="13:25" ht="12.75">
      <c r="M81" s="115">
        <f>IF(OR(ISNA(Calc_Pricing_Analysis),ISNA(Calc_MktInvest_Analysis)),"",IF(AND(Calc_Capacity&gt;Calc_Demand,Calc_IN_Price&gt;Calc_OUT_KPI_VarCost,Calc_Pricing_Analysis&lt;&gt;LUV_Price_Good,Calc_MktInvest_Analysis&lt;&gt;LUV_MktInvest_Good),N81,""))</f>
      </c>
      <c r="N81" s="241" t="s">
        <v>421</v>
      </c>
      <c r="O81" s="159"/>
      <c r="P81" s="159"/>
      <c r="Q81" s="159"/>
      <c r="R81" s="159"/>
      <c r="S81" s="159"/>
      <c r="T81" s="159"/>
      <c r="U81" s="159"/>
      <c r="V81" s="159"/>
      <c r="W81" s="159"/>
      <c r="X81" s="159"/>
      <c r="Y81" s="160"/>
    </row>
    <row r="82" spans="16:25" ht="13.5" thickBot="1">
      <c r="P82" s="6"/>
      <c r="Q82" s="6"/>
      <c r="R82" s="6"/>
      <c r="S82" s="6"/>
      <c r="T82" s="6"/>
      <c r="U82" s="6"/>
      <c r="V82" s="6"/>
      <c r="W82" s="6"/>
      <c r="X82" s="6"/>
      <c r="Y82" s="6"/>
    </row>
    <row r="83" spans="13:25" ht="12.75">
      <c r="M83" s="359" t="s">
        <v>422</v>
      </c>
      <c r="N83" s="360"/>
      <c r="O83" s="360"/>
      <c r="P83" s="360"/>
      <c r="Q83" s="360"/>
      <c r="R83" s="360"/>
      <c r="S83" s="360"/>
      <c r="T83" s="360"/>
      <c r="U83" s="360"/>
      <c r="V83" s="360"/>
      <c r="W83" s="360"/>
      <c r="X83" s="360"/>
      <c r="Y83" s="361"/>
    </row>
    <row r="84" spans="13:25" ht="12.75">
      <c r="M84" s="161" t="s">
        <v>262</v>
      </c>
      <c r="N84" s="162"/>
      <c r="O84" s="162"/>
      <c r="P84" s="162"/>
      <c r="Q84" s="162"/>
      <c r="R84" s="162"/>
      <c r="S84" s="162"/>
      <c r="T84" s="162"/>
      <c r="U84" s="162"/>
      <c r="V84" s="162"/>
      <c r="W84" s="162"/>
      <c r="X84" s="162"/>
      <c r="Y84" s="127"/>
    </row>
    <row r="85" spans="13:25" ht="12.75">
      <c r="M85" s="115" t="e">
        <f>IF(AND(Calc_IN_BEFPos1=LUV_BEF_Price,Calc_IN_BEFPos2=LUV_BEF_VarCost,Calc_IN_BEFPos3=LUV_BEF_FixedCost,Calc_IN_CC_Plant_Display=LUV_OptionButton_CC_Fixed,Calc_IN_CC_MktInvest_Display=LUV_OptionButton_CC_Fixed,Calc_IN_CC_Labor_Display=LUV_OptionButton_CC_Variable,Calc_IN_CC_RawMat_Display=LUV_OptionButton_CC_Variable,Calc_IN_CC_Machinery_Display=LUV_OptionButton_CC_Fixed,Calc_IN_CC_Tools_Display=LUV_OptionButton_CC_Fixed,Calc_IN_CC_Outsource_Display=LUV_OptionButton_CC_Variable,Calc_Capacity&gt;Calc_Demand,Calc_OUT_KPI_VarCost&gt;Calc_IN_Price,Calc_OUT_KPI_BEYears&lt;2),N85,"")</f>
        <v>#N/A</v>
      </c>
      <c r="N85" s="241" t="s">
        <v>423</v>
      </c>
      <c r="O85" s="159"/>
      <c r="P85" s="159"/>
      <c r="Q85" s="159"/>
      <c r="R85" s="159"/>
      <c r="S85" s="159"/>
      <c r="T85" s="159"/>
      <c r="U85" s="159"/>
      <c r="V85" s="159"/>
      <c r="W85" s="159"/>
      <c r="X85" s="159"/>
      <c r="Y85" s="160"/>
    </row>
    <row r="87" spans="13:25" ht="12.75">
      <c r="M87" s="161" t="s">
        <v>424</v>
      </c>
      <c r="N87" s="162"/>
      <c r="O87" s="162"/>
      <c r="P87" s="162"/>
      <c r="Q87" s="162"/>
      <c r="R87" s="162"/>
      <c r="S87" s="162"/>
      <c r="T87" s="162"/>
      <c r="U87" s="162"/>
      <c r="V87" s="162"/>
      <c r="W87" s="162"/>
      <c r="X87" s="162"/>
      <c r="Y87" s="127"/>
    </row>
    <row r="88" spans="13:25" ht="12.75">
      <c r="M88" s="115" t="str">
        <f>N88</f>
        <v>I don't not have any advice to give you right now.</v>
      </c>
      <c r="N88" s="241" t="s">
        <v>425</v>
      </c>
      <c r="O88" s="159"/>
      <c r="P88" s="159"/>
      <c r="Q88" s="159"/>
      <c r="R88" s="159"/>
      <c r="S88" s="159"/>
      <c r="T88" s="159"/>
      <c r="U88" s="159"/>
      <c r="V88" s="159"/>
      <c r="W88" s="159"/>
      <c r="X88" s="159"/>
      <c r="Y88" s="160"/>
    </row>
    <row r="90" ht="13.5" thickBot="1"/>
    <row r="91" spans="13:25" ht="12.75">
      <c r="M91" s="389" t="s">
        <v>426</v>
      </c>
      <c r="N91" s="390"/>
      <c r="O91" s="390"/>
      <c r="P91" s="390"/>
      <c r="Q91" s="390"/>
      <c r="R91" s="390"/>
      <c r="S91" s="390"/>
      <c r="T91" s="390"/>
      <c r="U91" s="390"/>
      <c r="V91" s="390"/>
      <c r="W91" s="390"/>
      <c r="X91" s="390"/>
      <c r="Y91" s="391"/>
    </row>
    <row r="92" spans="13:25" ht="12.75">
      <c r="M92" s="158" t="str">
        <f>M13&amp;M16&amp;M19&amp;M22</f>
        <v>I'd like you to start by deriving the Break Even formula.  Please complete the formula before asking me for feedback again.</v>
      </c>
      <c r="N92" s="159"/>
      <c r="O92" s="159"/>
      <c r="P92" s="159"/>
      <c r="Q92" s="159"/>
      <c r="R92" s="159"/>
      <c r="S92" s="159"/>
      <c r="T92" s="159"/>
      <c r="U92" s="159"/>
      <c r="V92" s="159"/>
      <c r="W92" s="159"/>
      <c r="X92" s="159"/>
      <c r="Y92" s="160"/>
    </row>
    <row r="93" ht="13.5" thickBot="1"/>
    <row r="94" spans="13:25" ht="12.75">
      <c r="M94" s="389" t="s">
        <v>427</v>
      </c>
      <c r="N94" s="390"/>
      <c r="O94" s="390"/>
      <c r="P94" s="390"/>
      <c r="Q94" s="390"/>
      <c r="R94" s="390"/>
      <c r="S94" s="390"/>
      <c r="T94" s="390"/>
      <c r="U94" s="390"/>
      <c r="V94" s="390"/>
      <c r="W94" s="390"/>
      <c r="X94" s="390"/>
      <c r="Y94" s="391"/>
    </row>
    <row r="95" spans="13:25" ht="12.75">
      <c r="M95" s="158" t="str">
        <f>M41&amp;M44&amp;M47</f>
        <v>Now that the Break Even formula is complete, I'd like you to classify all of the costs.  It is very important that this is done correctly.  If it is not, the analysis will be worthless.</v>
      </c>
      <c r="N95" s="159"/>
      <c r="O95" s="159"/>
      <c r="P95" s="159"/>
      <c r="Q95" s="159"/>
      <c r="R95" s="159"/>
      <c r="S95" s="159"/>
      <c r="T95" s="159"/>
      <c r="U95" s="159"/>
      <c r="V95" s="159"/>
      <c r="W95" s="159"/>
      <c r="X95" s="159"/>
      <c r="Y95" s="160"/>
    </row>
    <row r="96" ht="13.5" thickBot="1"/>
    <row r="97" spans="13:25" ht="12.75">
      <c r="M97" s="389" t="s">
        <v>428</v>
      </c>
      <c r="N97" s="390"/>
      <c r="O97" s="390"/>
      <c r="P97" s="390"/>
      <c r="Q97" s="390"/>
      <c r="R97" s="390"/>
      <c r="S97" s="390"/>
      <c r="T97" s="390"/>
      <c r="U97" s="390"/>
      <c r="V97" s="390"/>
      <c r="W97" s="390"/>
      <c r="X97" s="390"/>
      <c r="Y97" s="391"/>
    </row>
    <row r="98" spans="13:25" ht="12.75">
      <c r="M98" s="158" t="str">
        <f>M72&amp;M75&amp;M78&amp;M81</f>
        <v>You haven't decided whether or not we are going to buy or lease the physical plant.  This decision has a major impact on the analysis so it doesn't make sense for me to look at the results until you've made a decision.</v>
      </c>
      <c r="N98" s="159"/>
      <c r="O98" s="159"/>
      <c r="P98" s="159"/>
      <c r="Q98" s="159"/>
      <c r="R98" s="159"/>
      <c r="S98" s="159"/>
      <c r="T98" s="159"/>
      <c r="U98" s="159"/>
      <c r="V98" s="159"/>
      <c r="W98" s="159"/>
      <c r="X98" s="159"/>
      <c r="Y98" s="160"/>
    </row>
    <row r="99" ht="13.5" thickBot="1"/>
    <row r="100" spans="13:25" ht="12.75">
      <c r="M100" s="389" t="s">
        <v>429</v>
      </c>
      <c r="N100" s="390"/>
      <c r="O100" s="390"/>
      <c r="P100" s="390"/>
      <c r="Q100" s="390"/>
      <c r="R100" s="390"/>
      <c r="S100" s="390"/>
      <c r="T100" s="390"/>
      <c r="U100" s="390"/>
      <c r="V100" s="390"/>
      <c r="W100" s="390"/>
      <c r="X100" s="390"/>
      <c r="Y100" s="391"/>
    </row>
    <row r="101" spans="13:25" ht="12.75">
      <c r="M101" s="158" t="str">
        <f>IF(ISNA(M85),M88,IF(M85="",M88,M85))</f>
        <v>I don't not have any advice to give you right now.</v>
      </c>
      <c r="N101" s="159"/>
      <c r="O101" s="159"/>
      <c r="P101" s="159"/>
      <c r="Q101" s="159"/>
      <c r="R101" s="159"/>
      <c r="S101" s="159"/>
      <c r="T101" s="159"/>
      <c r="U101" s="159"/>
      <c r="V101" s="159"/>
      <c r="W101" s="159"/>
      <c r="X101" s="159"/>
      <c r="Y101" s="160"/>
    </row>
    <row r="102" ht="13.5" thickBot="1"/>
    <row r="103" spans="13:25" ht="12.75">
      <c r="M103" s="386" t="s">
        <v>288</v>
      </c>
      <c r="N103" s="387"/>
      <c r="O103" s="387"/>
      <c r="P103" s="387"/>
      <c r="Q103" s="387"/>
      <c r="R103" s="387"/>
      <c r="S103" s="387"/>
      <c r="T103" s="387"/>
      <c r="U103" s="387"/>
      <c r="V103" s="387"/>
      <c r="W103" s="387"/>
      <c r="X103" s="387"/>
      <c r="Y103" s="388"/>
    </row>
    <row r="104" spans="13:25" ht="12.75">
      <c r="M104" s="158" t="str">
        <f>IF(M92&lt;&gt;"",M92,IF(M95&lt;&gt;"",M95,IF(M98&lt;&gt;"",M98,M101)))</f>
        <v>I'd like you to start by deriving the Break Even formula.  Please complete the formula before asking me for feedback again.</v>
      </c>
      <c r="N104" s="159"/>
      <c r="O104" s="159"/>
      <c r="P104" s="159"/>
      <c r="Q104" s="159"/>
      <c r="R104" s="159"/>
      <c r="S104" s="159"/>
      <c r="T104" s="159"/>
      <c r="U104" s="159"/>
      <c r="V104" s="159"/>
      <c r="W104" s="159"/>
      <c r="X104" s="159"/>
      <c r="Y104" s="160"/>
    </row>
  </sheetData>
  <mergeCells count="16">
    <mergeCell ref="M70:Y70"/>
    <mergeCell ref="M83:Y83"/>
    <mergeCell ref="M103:Y103"/>
    <mergeCell ref="M91:Y91"/>
    <mergeCell ref="M94:Y94"/>
    <mergeCell ref="M97:Y97"/>
    <mergeCell ref="M100:Y100"/>
    <mergeCell ref="A24:H26"/>
    <mergeCell ref="M39:Y39"/>
    <mergeCell ref="C2:G13"/>
    <mergeCell ref="M11:Y11"/>
    <mergeCell ref="M2:Y2"/>
    <mergeCell ref="M3:Y3"/>
    <mergeCell ref="M9:Y9"/>
    <mergeCell ref="M6:S6"/>
    <mergeCell ref="N7:S7"/>
  </mergeCells>
  <hyperlinks>
    <hyperlink ref="A24:H26" location="'Simulation User Interface'!A1" display="Thank You for the Feedback"/>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3"/>
  <dimension ref="A2:V46"/>
  <sheetViews>
    <sheetView workbookViewId="0" topLeftCell="A1">
      <selection activeCell="A24" sqref="A24:H26"/>
    </sheetView>
  </sheetViews>
  <sheetFormatPr defaultColWidth="9.140625" defaultRowHeight="12.75"/>
  <cols>
    <col min="2" max="2" width="10.00390625" style="0" customWidth="1"/>
    <col min="3" max="5" width="10.140625" style="0" customWidth="1"/>
    <col min="6" max="6" width="8.28125" style="0" customWidth="1"/>
    <col min="7" max="7" width="10.00390625" style="0" customWidth="1"/>
    <col min="8" max="8" width="8.140625" style="0" customWidth="1"/>
  </cols>
  <sheetData>
    <row r="1" ht="13.5" thickBot="1"/>
    <row r="2" spans="3:22" ht="13.5" thickBot="1">
      <c r="C2" s="392" t="str">
        <f>J3</f>
        <v>I can't give you any feedback right now because you haven't made any marketing decisions.  Please determine how much you want to spend on advertising and how much you want to sell the mower for, then come back to me for feedback.</v>
      </c>
      <c r="D2" s="393"/>
      <c r="E2" s="393"/>
      <c r="F2" s="393"/>
      <c r="G2" s="394"/>
      <c r="J2" s="371" t="s">
        <v>130</v>
      </c>
      <c r="K2" s="372"/>
      <c r="L2" s="372"/>
      <c r="M2" s="372"/>
      <c r="N2" s="372"/>
      <c r="O2" s="372"/>
      <c r="P2" s="372"/>
      <c r="Q2" s="372"/>
      <c r="R2" s="372"/>
      <c r="S2" s="372"/>
      <c r="T2" s="372"/>
      <c r="U2" s="372"/>
      <c r="V2" s="373"/>
    </row>
    <row r="3" spans="3:22" ht="13.5" thickBot="1">
      <c r="C3" s="395"/>
      <c r="D3" s="330"/>
      <c r="E3" s="330"/>
      <c r="F3" s="330"/>
      <c r="G3" s="331"/>
      <c r="J3" s="374" t="str">
        <f>J46</f>
        <v>I can't give you any feedback right now because you haven't made any marketing decisions.  Please determine how much you want to spend on advertising and how much you want to sell the mower for, then come back to me for feedback.</v>
      </c>
      <c r="K3" s="375"/>
      <c r="L3" s="375"/>
      <c r="M3" s="375"/>
      <c r="N3" s="375"/>
      <c r="O3" s="375"/>
      <c r="P3" s="375"/>
      <c r="Q3" s="375"/>
      <c r="R3" s="375"/>
      <c r="S3" s="375"/>
      <c r="T3" s="375"/>
      <c r="U3" s="375"/>
      <c r="V3" s="376"/>
    </row>
    <row r="4" spans="3:7" ht="12.75">
      <c r="C4" s="395"/>
      <c r="D4" s="330"/>
      <c r="E4" s="330"/>
      <c r="F4" s="330"/>
      <c r="G4" s="331"/>
    </row>
    <row r="5" spans="3:7" ht="13.5" thickBot="1">
      <c r="C5" s="395"/>
      <c r="D5" s="330"/>
      <c r="E5" s="330"/>
      <c r="F5" s="330"/>
      <c r="G5" s="331"/>
    </row>
    <row r="6" spans="3:22" ht="13.5" thickBot="1">
      <c r="C6" s="395"/>
      <c r="D6" s="330"/>
      <c r="E6" s="330"/>
      <c r="F6" s="330"/>
      <c r="G6" s="331"/>
      <c r="J6" s="377"/>
      <c r="K6" s="378"/>
      <c r="L6" s="378"/>
      <c r="M6" s="378"/>
      <c r="N6" s="378"/>
      <c r="O6" s="378"/>
      <c r="P6" s="378"/>
      <c r="Q6" s="378"/>
      <c r="R6" s="378"/>
      <c r="S6" s="378"/>
      <c r="T6" s="378"/>
      <c r="U6" s="378"/>
      <c r="V6" s="379"/>
    </row>
    <row r="7" spans="3:7" ht="13.5" thickBot="1">
      <c r="C7" s="395"/>
      <c r="D7" s="330"/>
      <c r="E7" s="330"/>
      <c r="F7" s="330"/>
      <c r="G7" s="331"/>
    </row>
    <row r="8" spans="3:22" ht="12.75">
      <c r="C8" s="395"/>
      <c r="D8" s="330"/>
      <c r="E8" s="330"/>
      <c r="F8" s="330"/>
      <c r="G8" s="331"/>
      <c r="J8" s="359" t="s">
        <v>366</v>
      </c>
      <c r="K8" s="360"/>
      <c r="L8" s="360"/>
      <c r="M8" s="360"/>
      <c r="N8" s="360"/>
      <c r="O8" s="360"/>
      <c r="P8" s="360"/>
      <c r="Q8" s="360"/>
      <c r="R8" s="360"/>
      <c r="S8" s="360"/>
      <c r="T8" s="360"/>
      <c r="U8" s="360"/>
      <c r="V8" s="361"/>
    </row>
    <row r="9" spans="3:22" ht="12.75">
      <c r="C9" s="395"/>
      <c r="D9" s="330"/>
      <c r="E9" s="330"/>
      <c r="F9" s="330"/>
      <c r="G9" s="331"/>
      <c r="J9" s="161" t="s">
        <v>367</v>
      </c>
      <c r="K9" s="162"/>
      <c r="L9" s="162"/>
      <c r="M9" s="162"/>
      <c r="N9" s="162"/>
      <c r="O9" s="162"/>
      <c r="P9" s="162"/>
      <c r="Q9" s="162"/>
      <c r="R9" s="162"/>
      <c r="S9" s="162"/>
      <c r="T9" s="162"/>
      <c r="U9" s="162"/>
      <c r="V9" s="127"/>
    </row>
    <row r="10" spans="3:22" ht="12.75">
      <c r="C10" s="395"/>
      <c r="D10" s="330"/>
      <c r="E10" s="330"/>
      <c r="F10" s="330"/>
      <c r="G10" s="331"/>
      <c r="J10" s="115" t="str">
        <f>IF(AND(ISNA(Calc_Pricing_Analysis),ISNA(Calc_MktInvest_Analysis)),K10,"")</f>
        <v>I can't give you any feedback right now because you haven't made any marketing decisions.  Please determine how much you want to spend on advertising and how much you want to sell the mower for, then come back to me for feedback.</v>
      </c>
      <c r="K10" s="158" t="s">
        <v>368</v>
      </c>
      <c r="L10" s="159"/>
      <c r="M10" s="159"/>
      <c r="N10" s="159"/>
      <c r="O10" s="159"/>
      <c r="P10" s="159"/>
      <c r="Q10" s="159"/>
      <c r="R10" s="159"/>
      <c r="S10" s="159"/>
      <c r="T10" s="159"/>
      <c r="U10" s="159"/>
      <c r="V10" s="160"/>
    </row>
    <row r="11" spans="3:7" ht="12.75">
      <c r="C11" s="395"/>
      <c r="D11" s="330"/>
      <c r="E11" s="330"/>
      <c r="F11" s="330"/>
      <c r="G11" s="331"/>
    </row>
    <row r="12" spans="3:22" ht="12" customHeight="1">
      <c r="C12" s="395"/>
      <c r="D12" s="330"/>
      <c r="E12" s="330"/>
      <c r="F12" s="330"/>
      <c r="G12" s="331"/>
      <c r="J12" s="161" t="s">
        <v>262</v>
      </c>
      <c r="K12" s="162"/>
      <c r="L12" s="162"/>
      <c r="M12" s="162"/>
      <c r="N12" s="162"/>
      <c r="O12" s="162"/>
      <c r="P12" s="162"/>
      <c r="Q12" s="162"/>
      <c r="R12" s="162"/>
      <c r="S12" s="162"/>
      <c r="T12" s="162"/>
      <c r="U12" s="162"/>
      <c r="V12" s="127"/>
    </row>
    <row r="13" spans="3:22" ht="15" customHeight="1" thickBot="1">
      <c r="C13" s="396"/>
      <c r="D13" s="332"/>
      <c r="E13" s="332"/>
      <c r="F13" s="332"/>
      <c r="G13" s="333"/>
      <c r="J13" s="115">
        <f>IF(OR(ISNA(Calc_Pricing_Analysis),ISNA(Calc_MktInvest_Analysis)),"",IF(AND(Calc_Pricing_Analysis=LUV_Price_Good,Calc_MktInvest_Analysis=LUV_MktInvest_Good),K13,""))</f>
      </c>
      <c r="K13" s="158" t="s">
        <v>369</v>
      </c>
      <c r="L13" s="159"/>
      <c r="M13" s="159"/>
      <c r="N13" s="159"/>
      <c r="O13" s="159"/>
      <c r="P13" s="159"/>
      <c r="Q13" s="159"/>
      <c r="R13" s="159"/>
      <c r="S13" s="159"/>
      <c r="T13" s="159"/>
      <c r="U13" s="159"/>
      <c r="V13" s="160"/>
    </row>
    <row r="15" spans="10:22" ht="12.75">
      <c r="J15" s="161" t="s">
        <v>21</v>
      </c>
      <c r="K15" s="162"/>
      <c r="L15" s="162"/>
      <c r="M15" s="162"/>
      <c r="N15" s="162"/>
      <c r="O15" s="162"/>
      <c r="P15" s="162"/>
      <c r="Q15" s="162"/>
      <c r="R15" s="162"/>
      <c r="S15" s="162"/>
      <c r="T15" s="162"/>
      <c r="U15" s="162"/>
      <c r="V15" s="127"/>
    </row>
    <row r="16" spans="10:22" ht="12.75">
      <c r="J16" s="115" t="str">
        <f>K19&amp;K22&amp;K25&amp;K28</f>
        <v>You still haven't determined how much you want to spend on advertising.  Please let me know what your plan is so that I can consider it in my feedback.</v>
      </c>
      <c r="K16" s="239" t="s">
        <v>370</v>
      </c>
      <c r="L16" s="159"/>
      <c r="M16" s="159"/>
      <c r="N16" s="159"/>
      <c r="O16" s="159"/>
      <c r="P16" s="159"/>
      <c r="Q16" s="159"/>
      <c r="R16" s="159"/>
      <c r="S16" s="159"/>
      <c r="T16" s="159"/>
      <c r="U16" s="159"/>
      <c r="V16" s="160"/>
    </row>
    <row r="18" spans="11:22" ht="12.75">
      <c r="K18" s="161" t="s">
        <v>371</v>
      </c>
      <c r="L18" s="162"/>
      <c r="M18" s="162"/>
      <c r="N18" s="162"/>
      <c r="O18" s="162"/>
      <c r="P18" s="162"/>
      <c r="Q18" s="162"/>
      <c r="R18" s="162"/>
      <c r="S18" s="162"/>
      <c r="T18" s="162"/>
      <c r="U18" s="162"/>
      <c r="V18" s="127"/>
    </row>
    <row r="19" spans="11:22" ht="12.75">
      <c r="K19" s="240" t="str">
        <f>IF(ISNA(Calc_MktInvest_Analysis),L19,"")</f>
        <v>You still haven't determined how much you want to spend on advertising.  Please let me know what your plan is so that I can consider it in my feedback.</v>
      </c>
      <c r="L19" s="158" t="s">
        <v>372</v>
      </c>
      <c r="M19" s="159"/>
      <c r="N19" s="159"/>
      <c r="O19" s="159"/>
      <c r="P19" s="159"/>
      <c r="Q19" s="159"/>
      <c r="R19" s="159"/>
      <c r="S19" s="159"/>
      <c r="T19" s="159"/>
      <c r="U19" s="159"/>
      <c r="V19" s="160"/>
    </row>
    <row r="21" spans="11:22" ht="12.75">
      <c r="K21" s="161" t="s">
        <v>265</v>
      </c>
      <c r="L21" s="162"/>
      <c r="M21" s="162"/>
      <c r="N21" s="162"/>
      <c r="O21" s="162"/>
      <c r="P21" s="162"/>
      <c r="Q21" s="162"/>
      <c r="R21" s="162"/>
      <c r="S21" s="162"/>
      <c r="T21" s="162"/>
      <c r="U21" s="162"/>
      <c r="V21" s="127"/>
    </row>
    <row r="22" spans="11:22" ht="12.75">
      <c r="K22" s="240">
        <f>IF(ISNA(Calc_MktInvest_Analysis),"",IF(Calc_MktInvest_Analysis=LUV_MktInvest_TooLow,L22,""))</f>
      </c>
      <c r="L22" s="158" t="s">
        <v>373</v>
      </c>
      <c r="M22" s="159"/>
      <c r="N22" s="159"/>
      <c r="O22" s="159"/>
      <c r="P22" s="159"/>
      <c r="Q22" s="159"/>
      <c r="R22" s="159"/>
      <c r="S22" s="159"/>
      <c r="T22" s="159"/>
      <c r="U22" s="159"/>
      <c r="V22" s="160"/>
    </row>
    <row r="23" ht="11.25" customHeight="1"/>
    <row r="24" spans="1:22" ht="12.75">
      <c r="A24" s="403" t="s">
        <v>290</v>
      </c>
      <c r="B24" s="403"/>
      <c r="C24" s="403"/>
      <c r="D24" s="403"/>
      <c r="E24" s="403"/>
      <c r="F24" s="403"/>
      <c r="G24" s="403"/>
      <c r="H24" s="403"/>
      <c r="K24" s="161" t="s">
        <v>266</v>
      </c>
      <c r="L24" s="162"/>
      <c r="M24" s="162"/>
      <c r="N24" s="162"/>
      <c r="O24" s="162"/>
      <c r="P24" s="162"/>
      <c r="Q24" s="162"/>
      <c r="R24" s="162"/>
      <c r="S24" s="162"/>
      <c r="T24" s="162"/>
      <c r="U24" s="162"/>
      <c r="V24" s="127"/>
    </row>
    <row r="25" spans="1:22" ht="12.75">
      <c r="A25" s="403"/>
      <c r="B25" s="403"/>
      <c r="C25" s="403"/>
      <c r="D25" s="403"/>
      <c r="E25" s="403"/>
      <c r="F25" s="403"/>
      <c r="G25" s="403"/>
      <c r="H25" s="403"/>
      <c r="K25" s="240">
        <f>IF(ISNA(Calc_MktInvest_Analysis),"",IF(OR(Calc_MktInvest_Analysis=LUV_MktInvest_High,Calc_MktInvest_Analysis=LUV_MktInvest_TooHigh),L25,""))</f>
      </c>
      <c r="L25" s="241" t="s">
        <v>374</v>
      </c>
      <c r="M25" s="159"/>
      <c r="N25" s="159"/>
      <c r="O25" s="159"/>
      <c r="P25" s="159"/>
      <c r="Q25" s="159"/>
      <c r="R25" s="159"/>
      <c r="S25" s="159"/>
      <c r="T25" s="159"/>
      <c r="U25" s="159"/>
      <c r="V25" s="160"/>
    </row>
    <row r="26" spans="1:8" ht="12.75">
      <c r="A26" s="403"/>
      <c r="B26" s="403"/>
      <c r="C26" s="403"/>
      <c r="D26" s="403"/>
      <c r="E26" s="403"/>
      <c r="F26" s="403"/>
      <c r="G26" s="403"/>
      <c r="H26" s="403"/>
    </row>
    <row r="27" spans="11:22" ht="12.75">
      <c r="K27" s="161" t="s">
        <v>262</v>
      </c>
      <c r="L27" s="162"/>
      <c r="M27" s="162"/>
      <c r="N27" s="162"/>
      <c r="O27" s="162"/>
      <c r="P27" s="162"/>
      <c r="Q27" s="162"/>
      <c r="R27" s="162"/>
      <c r="S27" s="162"/>
      <c r="T27" s="162"/>
      <c r="U27" s="162"/>
      <c r="V27" s="127"/>
    </row>
    <row r="28" spans="11:22" ht="12.75">
      <c r="K28" s="240">
        <f>IF(ISNA(Calc_MktInvest_Analysis),"",IF(Calc_MktInvest_Analysis=LUV_MktInvest_Good,L28,""))</f>
      </c>
      <c r="L28" s="158" t="s">
        <v>375</v>
      </c>
      <c r="M28" s="159"/>
      <c r="N28" s="159"/>
      <c r="O28" s="159"/>
      <c r="P28" s="159"/>
      <c r="Q28" s="159"/>
      <c r="R28" s="159"/>
      <c r="S28" s="159"/>
      <c r="T28" s="159"/>
      <c r="U28" s="159"/>
      <c r="V28" s="160"/>
    </row>
    <row r="30" spans="10:22" ht="12.75">
      <c r="J30" s="161" t="s">
        <v>46</v>
      </c>
      <c r="K30" s="162"/>
      <c r="L30" s="162"/>
      <c r="M30" s="162"/>
      <c r="N30" s="162"/>
      <c r="O30" s="162"/>
      <c r="P30" s="162"/>
      <c r="Q30" s="162"/>
      <c r="R30" s="162"/>
      <c r="S30" s="162"/>
      <c r="T30" s="162"/>
      <c r="U30" s="162"/>
      <c r="V30" s="127"/>
    </row>
    <row r="31" spans="10:22" ht="12.75">
      <c r="J31" s="115" t="str">
        <f>K34&amp;K37&amp;K40&amp;K43</f>
        <v>I'd like to know how much you are going to charge for the lawn mower.  This will help me determine how many mowers we can sell.</v>
      </c>
      <c r="K31" s="239" t="s">
        <v>370</v>
      </c>
      <c r="L31" s="159"/>
      <c r="M31" s="159"/>
      <c r="N31" s="159"/>
      <c r="O31" s="159"/>
      <c r="P31" s="159"/>
      <c r="Q31" s="159"/>
      <c r="R31" s="159"/>
      <c r="S31" s="159"/>
      <c r="T31" s="159"/>
      <c r="U31" s="159"/>
      <c r="V31" s="160"/>
    </row>
    <row r="33" spans="11:22" ht="12.75">
      <c r="K33" s="161" t="s">
        <v>371</v>
      </c>
      <c r="L33" s="162"/>
      <c r="M33" s="162"/>
      <c r="N33" s="162"/>
      <c r="O33" s="162"/>
      <c r="P33" s="162"/>
      <c r="Q33" s="162"/>
      <c r="R33" s="162"/>
      <c r="S33" s="162"/>
      <c r="T33" s="162"/>
      <c r="U33" s="162"/>
      <c r="V33" s="127"/>
    </row>
    <row r="34" spans="11:22" ht="12.75">
      <c r="K34" s="240" t="str">
        <f>IF(ISNA(Calc_Pricing_Analysis),L34,"")</f>
        <v>I'd like to know how much you are going to charge for the lawn mower.  This will help me determine how many mowers we can sell.</v>
      </c>
      <c r="L34" s="158" t="s">
        <v>376</v>
      </c>
      <c r="M34" s="159"/>
      <c r="N34" s="159"/>
      <c r="O34" s="159"/>
      <c r="P34" s="159"/>
      <c r="Q34" s="159"/>
      <c r="R34" s="159"/>
      <c r="S34" s="159"/>
      <c r="T34" s="159"/>
      <c r="U34" s="159"/>
      <c r="V34" s="160"/>
    </row>
    <row r="36" spans="11:22" ht="12.75">
      <c r="K36" s="161" t="s">
        <v>265</v>
      </c>
      <c r="L36" s="162"/>
      <c r="M36" s="162"/>
      <c r="N36" s="162"/>
      <c r="O36" s="162"/>
      <c r="P36" s="162"/>
      <c r="Q36" s="162"/>
      <c r="R36" s="162"/>
      <c r="S36" s="162"/>
      <c r="T36" s="162"/>
      <c r="U36" s="162"/>
      <c r="V36" s="127"/>
    </row>
    <row r="37" spans="11:22" ht="12.75">
      <c r="K37" s="240">
        <f>IF(ISNA(Calc_Pricing_Analysis),"",IF(Calc_Pricing_Analysis=LUV_MktInvest_TooLow,L37,""))</f>
      </c>
      <c r="L37" s="158" t="s">
        <v>377</v>
      </c>
      <c r="M37" s="159"/>
      <c r="N37" s="159"/>
      <c r="O37" s="159"/>
      <c r="P37" s="159"/>
      <c r="Q37" s="159"/>
      <c r="R37" s="159"/>
      <c r="S37" s="159"/>
      <c r="T37" s="159"/>
      <c r="U37" s="159"/>
      <c r="V37" s="160"/>
    </row>
    <row r="39" spans="11:22" ht="12.75">
      <c r="K39" s="161" t="s">
        <v>266</v>
      </c>
      <c r="L39" s="162"/>
      <c r="M39" s="162"/>
      <c r="N39" s="162"/>
      <c r="O39" s="162"/>
      <c r="P39" s="162"/>
      <c r="Q39" s="162"/>
      <c r="R39" s="162"/>
      <c r="S39" s="162"/>
      <c r="T39" s="162"/>
      <c r="U39" s="162"/>
      <c r="V39" s="127"/>
    </row>
    <row r="40" spans="11:22" ht="12.75">
      <c r="K40" s="240">
        <f>IF(ISNA(Calc_Pricing_Analysis),"",IF(OR(Calc_Pricing_Analysis=LUV_MktInvest_High,Calc_Pricing_Analysis=LUV_MktInvest_TooHigh),L40,""))</f>
      </c>
      <c r="L40" s="241" t="s">
        <v>378</v>
      </c>
      <c r="M40" s="159"/>
      <c r="N40" s="159"/>
      <c r="O40" s="159"/>
      <c r="P40" s="159"/>
      <c r="Q40" s="159"/>
      <c r="R40" s="159"/>
      <c r="S40" s="159"/>
      <c r="T40" s="159"/>
      <c r="U40" s="159"/>
      <c r="V40" s="160"/>
    </row>
    <row r="42" spans="11:22" ht="12.75">
      <c r="K42" s="161" t="s">
        <v>262</v>
      </c>
      <c r="L42" s="162"/>
      <c r="M42" s="162"/>
      <c r="N42" s="162"/>
      <c r="O42" s="162"/>
      <c r="P42" s="162"/>
      <c r="Q42" s="162"/>
      <c r="R42" s="162"/>
      <c r="S42" s="162"/>
      <c r="T42" s="162"/>
      <c r="U42" s="162"/>
      <c r="V42" s="127"/>
    </row>
    <row r="43" spans="11:22" ht="12.75">
      <c r="K43" s="240">
        <f>IF(ISNA(Calc_Pricing_Analysis),"",IF(Calc_Pricing_Analysis=LUV_MktInvest_Good,L43,""))</f>
      </c>
      <c r="L43" s="158" t="s">
        <v>379</v>
      </c>
      <c r="M43" s="159"/>
      <c r="N43" s="159"/>
      <c r="O43" s="159"/>
      <c r="P43" s="159"/>
      <c r="Q43" s="159"/>
      <c r="R43" s="159"/>
      <c r="S43" s="159"/>
      <c r="T43" s="159"/>
      <c r="U43" s="159"/>
      <c r="V43" s="160"/>
    </row>
    <row r="44" ht="13.5" thickBot="1"/>
    <row r="45" spans="10:22" ht="12.75">
      <c r="J45" s="386" t="s">
        <v>288</v>
      </c>
      <c r="K45" s="387"/>
      <c r="L45" s="387"/>
      <c r="M45" s="387"/>
      <c r="N45" s="387"/>
      <c r="O45" s="387"/>
      <c r="P45" s="387"/>
      <c r="Q45" s="387"/>
      <c r="R45" s="387"/>
      <c r="S45" s="387"/>
      <c r="T45" s="387"/>
      <c r="U45" s="387"/>
      <c r="V45" s="388"/>
    </row>
    <row r="46" spans="10:22" ht="12.75">
      <c r="J46" s="158" t="str">
        <f>IF(J10&lt;&gt;"",J10,IF(J13&lt;&gt;"",J13,IF(J16&lt;&gt;"",J16,J31)))</f>
        <v>I can't give you any feedback right now because you haven't made any marketing decisions.  Please determine how much you want to spend on advertising and how much you want to sell the mower for, then come back to me for feedback.</v>
      </c>
      <c r="K46" s="159"/>
      <c r="L46" s="159"/>
      <c r="M46" s="159"/>
      <c r="N46" s="159"/>
      <c r="O46" s="159"/>
      <c r="P46" s="159"/>
      <c r="Q46" s="159"/>
      <c r="R46" s="159"/>
      <c r="S46" s="159"/>
      <c r="T46" s="159"/>
      <c r="U46" s="159"/>
      <c r="V46" s="160"/>
    </row>
  </sheetData>
  <mergeCells count="7">
    <mergeCell ref="J45:V45"/>
    <mergeCell ref="A24:H26"/>
    <mergeCell ref="J2:V2"/>
    <mergeCell ref="J3:V3"/>
    <mergeCell ref="C2:G13"/>
    <mergeCell ref="J6:V6"/>
    <mergeCell ref="J8:V8"/>
  </mergeCells>
  <hyperlinks>
    <hyperlink ref="A24:H26" location="'Simulation User Interface'!A1" display="Thank You for the Feedback"/>
  </hyperlink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2:V26"/>
  <sheetViews>
    <sheetView tabSelected="1" workbookViewId="0" topLeftCell="A1">
      <selection activeCell="Q35" sqref="Q35"/>
    </sheetView>
  </sheetViews>
  <sheetFormatPr defaultColWidth="9.140625" defaultRowHeight="12.75"/>
  <cols>
    <col min="2" max="2" width="10.00390625" style="0" customWidth="1"/>
    <col min="3" max="5" width="10.140625" style="0" customWidth="1"/>
    <col min="6" max="6" width="8.28125" style="0" customWidth="1"/>
    <col min="7" max="7" width="10.00390625" style="0" customWidth="1"/>
    <col min="8" max="8" width="8.140625" style="0" customWidth="1"/>
  </cols>
  <sheetData>
    <row r="1" ht="17.25" customHeight="1" thickBot="1"/>
    <row r="2" spans="3:22" ht="13.5" thickBot="1">
      <c r="C2" s="392" t="str">
        <f>J3</f>
        <v>At this time, I can't give you any feedback because I don't know how much our projected demand is going to be.  Please complete the marketing decisions, then come back to me for feedback.</v>
      </c>
      <c r="D2" s="393"/>
      <c r="E2" s="393"/>
      <c r="F2" s="393"/>
      <c r="G2" s="394"/>
      <c r="J2" s="371" t="s">
        <v>130</v>
      </c>
      <c r="K2" s="372"/>
      <c r="L2" s="372"/>
      <c r="M2" s="372"/>
      <c r="N2" s="372"/>
      <c r="O2" s="372"/>
      <c r="P2" s="372"/>
      <c r="Q2" s="372"/>
      <c r="R2" s="372"/>
      <c r="S2" s="372"/>
      <c r="T2" s="372"/>
      <c r="U2" s="372"/>
      <c r="V2" s="373"/>
    </row>
    <row r="3" spans="3:22" ht="13.5" thickBot="1">
      <c r="C3" s="395"/>
      <c r="D3" s="330"/>
      <c r="E3" s="330"/>
      <c r="F3" s="330"/>
      <c r="G3" s="331"/>
      <c r="J3" s="374" t="str">
        <f>J25</f>
        <v>At this time, I can't give you any feedback because I don't know how much our projected demand is going to be.  Please complete the marketing decisions, then come back to me for feedback.</v>
      </c>
      <c r="K3" s="375"/>
      <c r="L3" s="375"/>
      <c r="M3" s="375"/>
      <c r="N3" s="375"/>
      <c r="O3" s="375"/>
      <c r="P3" s="375"/>
      <c r="Q3" s="375"/>
      <c r="R3" s="375"/>
      <c r="S3" s="375"/>
      <c r="T3" s="375"/>
      <c r="U3" s="375"/>
      <c r="V3" s="376"/>
    </row>
    <row r="4" spans="3:7" ht="12.75">
      <c r="C4" s="395"/>
      <c r="D4" s="330"/>
      <c r="E4" s="330"/>
      <c r="F4" s="330"/>
      <c r="G4" s="331"/>
    </row>
    <row r="5" spans="3:7" ht="13.5" thickBot="1">
      <c r="C5" s="395"/>
      <c r="D5" s="330"/>
      <c r="E5" s="330"/>
      <c r="F5" s="330"/>
      <c r="G5" s="331"/>
    </row>
    <row r="6" spans="3:22" ht="13.5" thickBot="1">
      <c r="C6" s="395"/>
      <c r="D6" s="330"/>
      <c r="E6" s="330"/>
      <c r="F6" s="330"/>
      <c r="G6" s="331"/>
      <c r="J6" s="377"/>
      <c r="K6" s="378"/>
      <c r="L6" s="378"/>
      <c r="M6" s="378"/>
      <c r="N6" s="378"/>
      <c r="O6" s="378"/>
      <c r="P6" s="378"/>
      <c r="Q6" s="378"/>
      <c r="R6" s="378"/>
      <c r="S6" s="378"/>
      <c r="T6" s="378"/>
      <c r="U6" s="378"/>
      <c r="V6" s="379"/>
    </row>
    <row r="7" spans="3:7" ht="13.5" thickBot="1">
      <c r="C7" s="395"/>
      <c r="D7" s="330"/>
      <c r="E7" s="330"/>
      <c r="F7" s="330"/>
      <c r="G7" s="331"/>
    </row>
    <row r="8" spans="3:22" ht="12.75">
      <c r="C8" s="395"/>
      <c r="D8" s="330"/>
      <c r="E8" s="330"/>
      <c r="F8" s="330"/>
      <c r="G8" s="331"/>
      <c r="J8" s="359" t="s">
        <v>366</v>
      </c>
      <c r="K8" s="360"/>
      <c r="L8" s="360"/>
      <c r="M8" s="360"/>
      <c r="N8" s="360"/>
      <c r="O8" s="360"/>
      <c r="P8" s="360"/>
      <c r="Q8" s="360"/>
      <c r="R8" s="360"/>
      <c r="S8" s="360"/>
      <c r="T8" s="360"/>
      <c r="U8" s="360"/>
      <c r="V8" s="361"/>
    </row>
    <row r="9" spans="3:22" ht="12.75">
      <c r="C9" s="395"/>
      <c r="D9" s="330"/>
      <c r="E9" s="330"/>
      <c r="F9" s="330"/>
      <c r="G9" s="331"/>
      <c r="J9" s="161" t="s">
        <v>359</v>
      </c>
      <c r="K9" s="162"/>
      <c r="L9" s="162"/>
      <c r="M9" s="162"/>
      <c r="N9" s="162"/>
      <c r="O9" s="162"/>
      <c r="P9" s="162"/>
      <c r="Q9" s="162"/>
      <c r="R9" s="162"/>
      <c r="S9" s="162"/>
      <c r="T9" s="162"/>
      <c r="U9" s="162"/>
      <c r="V9" s="127"/>
    </row>
    <row r="10" spans="3:22" ht="12.75">
      <c r="C10" s="395"/>
      <c r="D10" s="330"/>
      <c r="E10" s="330"/>
      <c r="F10" s="330"/>
      <c r="G10" s="331"/>
      <c r="J10" s="115" t="str">
        <f>IF(OR(Calc_IN_MktInvest=0,Calc_IN_Price=0),K10,"")</f>
        <v>At this time, I can't give you any feedback because I don't know how much our projected demand is going to be.  Please complete the marketing decisions, then come back to me for feedback.</v>
      </c>
      <c r="K10" s="158" t="s">
        <v>361</v>
      </c>
      <c r="L10" s="159"/>
      <c r="M10" s="159"/>
      <c r="N10" s="159"/>
      <c r="O10" s="159"/>
      <c r="P10" s="159"/>
      <c r="Q10" s="159"/>
      <c r="R10" s="159"/>
      <c r="S10" s="159"/>
      <c r="T10" s="159"/>
      <c r="U10" s="159"/>
      <c r="V10" s="160"/>
    </row>
    <row r="11" spans="3:7" ht="12.75">
      <c r="C11" s="395"/>
      <c r="D11" s="330"/>
      <c r="E11" s="330"/>
      <c r="F11" s="330"/>
      <c r="G11" s="331"/>
    </row>
    <row r="12" spans="3:22" ht="12.75">
      <c r="C12" s="395"/>
      <c r="D12" s="330"/>
      <c r="E12" s="330"/>
      <c r="F12" s="330"/>
      <c r="G12" s="331"/>
      <c r="J12" s="161" t="s">
        <v>263</v>
      </c>
      <c r="K12" s="162"/>
      <c r="L12" s="162"/>
      <c r="M12" s="162"/>
      <c r="N12" s="162"/>
      <c r="O12" s="162"/>
      <c r="P12" s="162"/>
      <c r="Q12" s="162"/>
      <c r="R12" s="162"/>
      <c r="S12" s="162"/>
      <c r="T12" s="162"/>
      <c r="U12" s="162"/>
      <c r="V12" s="127"/>
    </row>
    <row r="13" spans="3:22" ht="14.25" customHeight="1" thickBot="1">
      <c r="C13" s="396"/>
      <c r="D13" s="332"/>
      <c r="E13" s="332"/>
      <c r="F13" s="332"/>
      <c r="G13" s="333"/>
      <c r="J13" s="115">
        <f>IF(ISNA(Calc_IN_Plant_Display),K13,"")</f>
      </c>
      <c r="K13" s="158" t="s">
        <v>362</v>
      </c>
      <c r="L13" s="159"/>
      <c r="M13" s="159"/>
      <c r="N13" s="159"/>
      <c r="O13" s="159"/>
      <c r="P13" s="159"/>
      <c r="Q13" s="159"/>
      <c r="R13" s="159"/>
      <c r="S13" s="159"/>
      <c r="T13" s="159"/>
      <c r="U13" s="159"/>
      <c r="V13" s="160"/>
    </row>
    <row r="15" spans="10:22" ht="12.75">
      <c r="J15" s="161" t="s">
        <v>360</v>
      </c>
      <c r="K15" s="162"/>
      <c r="L15" s="162"/>
      <c r="M15" s="162"/>
      <c r="N15" s="162"/>
      <c r="O15" s="162"/>
      <c r="P15" s="162"/>
      <c r="Q15" s="162"/>
      <c r="R15" s="162"/>
      <c r="S15" s="162"/>
      <c r="T15" s="162"/>
      <c r="U15" s="162"/>
      <c r="V15" s="127"/>
    </row>
    <row r="16" spans="10:22" ht="12.75">
      <c r="J16" s="115">
        <f>IF(ISNA(Calc_OUT_Capacity_GT_Demand),"",IF(NOT(Calc_OUT_Capacity_GT_Demand),K16,""))</f>
      </c>
      <c r="K16" s="158" t="s">
        <v>363</v>
      </c>
      <c r="L16" s="159"/>
      <c r="M16" s="159"/>
      <c r="N16" s="159"/>
      <c r="O16" s="159"/>
      <c r="P16" s="159"/>
      <c r="Q16" s="159"/>
      <c r="R16" s="159"/>
      <c r="S16" s="159"/>
      <c r="T16" s="159"/>
      <c r="U16" s="159"/>
      <c r="V16" s="160"/>
    </row>
    <row r="18" spans="10:22" ht="12.75">
      <c r="J18" s="161" t="s">
        <v>264</v>
      </c>
      <c r="K18" s="162"/>
      <c r="L18" s="162"/>
      <c r="M18" s="162"/>
      <c r="N18" s="162"/>
      <c r="O18" s="162"/>
      <c r="P18" s="162"/>
      <c r="Q18" s="162"/>
      <c r="R18" s="162"/>
      <c r="S18" s="162"/>
      <c r="T18" s="162"/>
      <c r="U18" s="162"/>
      <c r="V18" s="127"/>
    </row>
    <row r="19" spans="10:22" ht="12.75">
      <c r="J19" s="115">
        <f>IF(ISNA(Calc_VarCost&gt;Calc_IN_Price),"",IF(Calc_VarCost&gt;Calc_IN_Price,K19,""))</f>
      </c>
      <c r="K19" s="158" t="s">
        <v>364</v>
      </c>
      <c r="L19" s="159"/>
      <c r="M19" s="159"/>
      <c r="N19" s="159"/>
      <c r="O19" s="159"/>
      <c r="P19" s="159"/>
      <c r="Q19" s="159"/>
      <c r="R19" s="159"/>
      <c r="S19" s="159"/>
      <c r="T19" s="159"/>
      <c r="U19" s="159"/>
      <c r="V19" s="160"/>
    </row>
    <row r="21" spans="10:22" ht="12.75">
      <c r="J21" s="161" t="s">
        <v>262</v>
      </c>
      <c r="K21" s="162"/>
      <c r="L21" s="162"/>
      <c r="M21" s="162"/>
      <c r="N21" s="162"/>
      <c r="O21" s="162"/>
      <c r="P21" s="162"/>
      <c r="Q21" s="162"/>
      <c r="R21" s="162"/>
      <c r="S21" s="162"/>
      <c r="T21" s="162"/>
      <c r="U21" s="162"/>
      <c r="V21" s="127"/>
    </row>
    <row r="22" spans="10:22" ht="12.75">
      <c r="J22" s="115">
        <f>IF(AND(J10="",J13="",J16="",J19=""),K22,"")</f>
      </c>
      <c r="K22" s="158" t="s">
        <v>365</v>
      </c>
      <c r="L22" s="159"/>
      <c r="M22" s="159"/>
      <c r="N22" s="159"/>
      <c r="O22" s="159"/>
      <c r="P22" s="159"/>
      <c r="Q22" s="159"/>
      <c r="R22" s="159"/>
      <c r="S22" s="159"/>
      <c r="T22" s="159"/>
      <c r="U22" s="159"/>
      <c r="V22" s="160"/>
    </row>
    <row r="23" ht="8.25" customHeight="1" thickBot="1"/>
    <row r="24" spans="1:22" ht="12.75">
      <c r="A24" s="403" t="s">
        <v>290</v>
      </c>
      <c r="B24" s="403"/>
      <c r="C24" s="403"/>
      <c r="D24" s="403"/>
      <c r="E24" s="403"/>
      <c r="F24" s="403"/>
      <c r="G24" s="403"/>
      <c r="H24" s="403"/>
      <c r="J24" s="386" t="s">
        <v>288</v>
      </c>
      <c r="K24" s="387"/>
      <c r="L24" s="387"/>
      <c r="M24" s="387"/>
      <c r="N24" s="387"/>
      <c r="O24" s="387"/>
      <c r="P24" s="387"/>
      <c r="Q24" s="387"/>
      <c r="R24" s="387"/>
      <c r="S24" s="387"/>
      <c r="T24" s="387"/>
      <c r="U24" s="387"/>
      <c r="V24" s="388"/>
    </row>
    <row r="25" spans="1:22" ht="12.75">
      <c r="A25" s="403"/>
      <c r="B25" s="403"/>
      <c r="C25" s="403"/>
      <c r="D25" s="403"/>
      <c r="E25" s="403"/>
      <c r="F25" s="403"/>
      <c r="G25" s="403"/>
      <c r="H25" s="403"/>
      <c r="J25" s="158" t="str">
        <f>IF(J22&lt;&gt;"",J22,IF(J13&lt;&gt;"",J13,IF(J16&lt;&gt;"",J16,IF(J19&lt;&gt;"",J19,J10))))</f>
        <v>At this time, I can't give you any feedback because I don't know how much our projected demand is going to be.  Please complete the marketing decisions, then come back to me for feedback.</v>
      </c>
      <c r="K25" s="159"/>
      <c r="L25" s="159"/>
      <c r="M25" s="159"/>
      <c r="N25" s="159"/>
      <c r="O25" s="159"/>
      <c r="P25" s="159"/>
      <c r="Q25" s="159"/>
      <c r="R25" s="159"/>
      <c r="S25" s="159"/>
      <c r="T25" s="159"/>
      <c r="U25" s="159"/>
      <c r="V25" s="160"/>
    </row>
    <row r="26" spans="1:8" ht="12.75">
      <c r="A26" s="403"/>
      <c r="B26" s="403"/>
      <c r="C26" s="403"/>
      <c r="D26" s="403"/>
      <c r="E26" s="403"/>
      <c r="F26" s="403"/>
      <c r="G26" s="403"/>
      <c r="H26" s="403"/>
    </row>
  </sheetData>
  <mergeCells count="7">
    <mergeCell ref="C2:G13"/>
    <mergeCell ref="A24:H26"/>
    <mergeCell ref="J2:V2"/>
    <mergeCell ref="J3:V3"/>
    <mergeCell ref="J6:V6"/>
    <mergeCell ref="J8:V8"/>
    <mergeCell ref="J24:V24"/>
  </mergeCells>
  <hyperlinks>
    <hyperlink ref="A24:H26" location="'Simulation User Interface'!A1" display="Thank You for the Feedback"/>
  </hyperlink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B2:L180"/>
  <sheetViews>
    <sheetView workbookViewId="0" topLeftCell="A165">
      <selection activeCell="L212" sqref="L212"/>
    </sheetView>
  </sheetViews>
  <sheetFormatPr defaultColWidth="9.140625" defaultRowHeight="12.75"/>
  <cols>
    <col min="1" max="1" width="2.00390625" style="0" customWidth="1"/>
  </cols>
  <sheetData>
    <row r="1" ht="14.25" customHeight="1"/>
    <row r="2" spans="2:12" ht="12.75">
      <c r="B2" s="398" t="s">
        <v>185</v>
      </c>
      <c r="C2" s="398"/>
      <c r="D2" s="398"/>
      <c r="E2" s="398"/>
      <c r="F2" s="398"/>
      <c r="G2" s="398"/>
      <c r="H2" s="398"/>
      <c r="I2" s="398"/>
      <c r="J2" s="398"/>
      <c r="K2" s="398"/>
      <c r="L2" s="398"/>
    </row>
    <row r="3" spans="2:12" ht="12.75">
      <c r="B3" s="397" t="s">
        <v>184</v>
      </c>
      <c r="C3" s="397"/>
      <c r="D3" s="397"/>
      <c r="E3" s="397"/>
      <c r="F3" s="397"/>
      <c r="G3" s="397"/>
      <c r="H3" s="397"/>
      <c r="I3" s="397"/>
      <c r="J3" s="397"/>
      <c r="K3" s="397"/>
      <c r="L3" s="397"/>
    </row>
    <row r="4" spans="2:12" ht="12.75">
      <c r="B4" s="397"/>
      <c r="C4" s="397"/>
      <c r="D4" s="397"/>
      <c r="E4" s="397"/>
      <c r="F4" s="397"/>
      <c r="G4" s="397"/>
      <c r="H4" s="397"/>
      <c r="I4" s="397"/>
      <c r="J4" s="397"/>
      <c r="K4" s="397"/>
      <c r="L4" s="397"/>
    </row>
    <row r="5" spans="2:12" ht="12.75">
      <c r="B5" s="397"/>
      <c r="C5" s="397"/>
      <c r="D5" s="397"/>
      <c r="E5" s="397"/>
      <c r="F5" s="397"/>
      <c r="G5" s="397"/>
      <c r="H5" s="397"/>
      <c r="I5" s="397"/>
      <c r="J5" s="397"/>
      <c r="K5" s="397"/>
      <c r="L5" s="397"/>
    </row>
    <row r="6" spans="2:12" ht="12.75">
      <c r="B6" s="397"/>
      <c r="C6" s="397"/>
      <c r="D6" s="397"/>
      <c r="E6" s="397"/>
      <c r="F6" s="397"/>
      <c r="G6" s="397"/>
      <c r="H6" s="397"/>
      <c r="I6" s="397"/>
      <c r="J6" s="397"/>
      <c r="K6" s="397"/>
      <c r="L6" s="397"/>
    </row>
    <row r="7" ht="8.25" customHeight="1"/>
    <row r="8" spans="2:12" ht="12.75">
      <c r="B8" s="398" t="s">
        <v>186</v>
      </c>
      <c r="C8" s="398"/>
      <c r="D8" s="398"/>
      <c r="E8" s="398"/>
      <c r="F8" s="398"/>
      <c r="G8" s="398"/>
      <c r="H8" s="398"/>
      <c r="I8" s="398"/>
      <c r="J8" s="398"/>
      <c r="K8" s="398"/>
      <c r="L8" s="398"/>
    </row>
    <row r="9" spans="2:12" ht="12.75">
      <c r="B9" s="397" t="s">
        <v>181</v>
      </c>
      <c r="C9" s="397"/>
      <c r="D9" s="397"/>
      <c r="E9" s="397"/>
      <c r="F9" s="397"/>
      <c r="G9" s="397"/>
      <c r="H9" s="397"/>
      <c r="I9" s="397"/>
      <c r="J9" s="397"/>
      <c r="K9" s="397"/>
      <c r="L9" s="397"/>
    </row>
    <row r="10" spans="2:12" ht="12.75">
      <c r="B10" s="397"/>
      <c r="C10" s="397"/>
      <c r="D10" s="397"/>
      <c r="E10" s="397"/>
      <c r="F10" s="397"/>
      <c r="G10" s="397"/>
      <c r="H10" s="397"/>
      <c r="I10" s="397"/>
      <c r="J10" s="397"/>
      <c r="K10" s="397"/>
      <c r="L10" s="397"/>
    </row>
    <row r="11" spans="2:12" ht="12.75">
      <c r="B11" s="397"/>
      <c r="C11" s="397"/>
      <c r="D11" s="397"/>
      <c r="E11" s="397"/>
      <c r="F11" s="397"/>
      <c r="G11" s="397"/>
      <c r="H11" s="397"/>
      <c r="I11" s="397"/>
      <c r="J11" s="397"/>
      <c r="K11" s="397"/>
      <c r="L11" s="397"/>
    </row>
    <row r="12" spans="2:12" ht="12.75">
      <c r="B12" s="397"/>
      <c r="C12" s="397"/>
      <c r="D12" s="397"/>
      <c r="E12" s="397"/>
      <c r="F12" s="397"/>
      <c r="G12" s="397"/>
      <c r="H12" s="397"/>
      <c r="I12" s="397"/>
      <c r="J12" s="397"/>
      <c r="K12" s="397"/>
      <c r="L12" s="397"/>
    </row>
    <row r="13" ht="6.75" customHeight="1"/>
    <row r="14" spans="2:12" ht="12.75">
      <c r="B14" s="397" t="s">
        <v>182</v>
      </c>
      <c r="C14" s="397"/>
      <c r="D14" s="397"/>
      <c r="E14" s="397"/>
      <c r="F14" s="397"/>
      <c r="G14" s="397"/>
      <c r="H14" s="397"/>
      <c r="I14" s="397"/>
      <c r="J14" s="397"/>
      <c r="K14" s="397"/>
      <c r="L14" s="397"/>
    </row>
    <row r="15" spans="2:12" ht="12.75">
      <c r="B15" s="397"/>
      <c r="C15" s="397"/>
      <c r="D15" s="397"/>
      <c r="E15" s="397"/>
      <c r="F15" s="397"/>
      <c r="G15" s="397"/>
      <c r="H15" s="397"/>
      <c r="I15" s="397"/>
      <c r="J15" s="397"/>
      <c r="K15" s="397"/>
      <c r="L15" s="397"/>
    </row>
    <row r="16" spans="2:12" ht="6.75" customHeight="1">
      <c r="B16" s="58"/>
      <c r="C16" s="58"/>
      <c r="D16" s="58"/>
      <c r="E16" s="58"/>
      <c r="F16" s="58"/>
      <c r="G16" s="58"/>
      <c r="H16" s="58"/>
      <c r="I16" s="58"/>
      <c r="J16" s="58"/>
      <c r="K16" s="58"/>
      <c r="L16" s="58"/>
    </row>
    <row r="17" spans="2:12" ht="12.75">
      <c r="B17" s="397" t="s">
        <v>183</v>
      </c>
      <c r="C17" s="397"/>
      <c r="D17" s="397"/>
      <c r="E17" s="397"/>
      <c r="F17" s="397"/>
      <c r="G17" s="397"/>
      <c r="H17" s="397"/>
      <c r="I17" s="397"/>
      <c r="J17" s="397"/>
      <c r="K17" s="397"/>
      <c r="L17" s="397"/>
    </row>
    <row r="18" spans="2:12" ht="12.75">
      <c r="B18" s="397"/>
      <c r="C18" s="397"/>
      <c r="D18" s="397"/>
      <c r="E18" s="397"/>
      <c r="F18" s="397"/>
      <c r="G18" s="397"/>
      <c r="H18" s="397"/>
      <c r="I18" s="397"/>
      <c r="J18" s="397"/>
      <c r="K18" s="397"/>
      <c r="L18" s="397"/>
    </row>
    <row r="19" spans="2:12" ht="12.75">
      <c r="B19" s="397"/>
      <c r="C19" s="397"/>
      <c r="D19" s="397"/>
      <c r="E19" s="397"/>
      <c r="F19" s="397"/>
      <c r="G19" s="397"/>
      <c r="H19" s="397"/>
      <c r="I19" s="397"/>
      <c r="J19" s="397"/>
      <c r="K19" s="397"/>
      <c r="L19" s="397"/>
    </row>
    <row r="35" spans="2:12" ht="12.75">
      <c r="B35" s="398" t="s">
        <v>190</v>
      </c>
      <c r="C35" s="398"/>
      <c r="D35" s="398"/>
      <c r="E35" s="398"/>
      <c r="F35" s="398"/>
      <c r="G35" s="398"/>
      <c r="H35" s="398"/>
      <c r="I35" s="398"/>
      <c r="J35" s="398"/>
      <c r="K35" s="398"/>
      <c r="L35" s="398"/>
    </row>
    <row r="36" spans="2:12" ht="12.75">
      <c r="B36" s="397" t="s">
        <v>187</v>
      </c>
      <c r="C36" s="397"/>
      <c r="D36" s="397"/>
      <c r="E36" s="397"/>
      <c r="F36" s="397"/>
      <c r="G36" s="397"/>
      <c r="H36" s="397"/>
      <c r="I36" s="397"/>
      <c r="J36" s="397"/>
      <c r="K36" s="397"/>
      <c r="L36" s="397"/>
    </row>
    <row r="37" spans="2:12" ht="12.75">
      <c r="B37" s="397"/>
      <c r="C37" s="397"/>
      <c r="D37" s="397"/>
      <c r="E37" s="397"/>
      <c r="F37" s="397"/>
      <c r="G37" s="397"/>
      <c r="H37" s="397"/>
      <c r="I37" s="397"/>
      <c r="J37" s="397"/>
      <c r="K37" s="397"/>
      <c r="L37" s="397"/>
    </row>
    <row r="38" spans="2:12" ht="12.75">
      <c r="B38" s="397"/>
      <c r="C38" s="397"/>
      <c r="D38" s="397"/>
      <c r="E38" s="397"/>
      <c r="F38" s="397"/>
      <c r="G38" s="397"/>
      <c r="H38" s="397"/>
      <c r="I38" s="397"/>
      <c r="J38" s="397"/>
      <c r="K38" s="397"/>
      <c r="L38" s="397"/>
    </row>
    <row r="39" spans="2:12" ht="12.75">
      <c r="B39" s="397"/>
      <c r="C39" s="397"/>
      <c r="D39" s="397"/>
      <c r="E39" s="397"/>
      <c r="F39" s="397"/>
      <c r="G39" s="397"/>
      <c r="H39" s="397"/>
      <c r="I39" s="397"/>
      <c r="J39" s="397"/>
      <c r="K39" s="397"/>
      <c r="L39" s="397"/>
    </row>
    <row r="40" spans="2:12" ht="12.75">
      <c r="B40" s="397"/>
      <c r="C40" s="397"/>
      <c r="D40" s="397"/>
      <c r="E40" s="397"/>
      <c r="F40" s="397"/>
      <c r="G40" s="397"/>
      <c r="H40" s="397"/>
      <c r="I40" s="397"/>
      <c r="J40" s="397"/>
      <c r="K40" s="397"/>
      <c r="L40" s="397"/>
    </row>
    <row r="41" ht="6.75" customHeight="1"/>
    <row r="42" spans="2:12" ht="12.75">
      <c r="B42" s="397" t="s">
        <v>188</v>
      </c>
      <c r="C42" s="397"/>
      <c r="D42" s="397"/>
      <c r="E42" s="397"/>
      <c r="F42" s="397"/>
      <c r="G42" s="397"/>
      <c r="H42" s="397"/>
      <c r="I42" s="397"/>
      <c r="J42" s="397"/>
      <c r="K42" s="397"/>
      <c r="L42" s="397"/>
    </row>
    <row r="43" spans="2:12" ht="12.75">
      <c r="B43" s="397"/>
      <c r="C43" s="397"/>
      <c r="D43" s="397"/>
      <c r="E43" s="397"/>
      <c r="F43" s="397"/>
      <c r="G43" s="397"/>
      <c r="H43" s="397"/>
      <c r="I43" s="397"/>
      <c r="J43" s="397"/>
      <c r="K43" s="397"/>
      <c r="L43" s="397"/>
    </row>
    <row r="58" spans="2:5" ht="12.75">
      <c r="B58" s="398" t="s">
        <v>189</v>
      </c>
      <c r="C58" s="398"/>
      <c r="D58" s="398"/>
      <c r="E58" s="398"/>
    </row>
    <row r="59" spans="2:12" ht="12.75">
      <c r="B59" s="397" t="s">
        <v>191</v>
      </c>
      <c r="C59" s="397"/>
      <c r="D59" s="397"/>
      <c r="E59" s="397"/>
      <c r="F59" s="397"/>
      <c r="G59" s="397"/>
      <c r="H59" s="397"/>
      <c r="I59" s="397"/>
      <c r="J59" s="397"/>
      <c r="K59" s="397"/>
      <c r="L59" s="397"/>
    </row>
    <row r="60" spans="2:12" ht="12.75">
      <c r="B60" s="397"/>
      <c r="C60" s="397"/>
      <c r="D60" s="397"/>
      <c r="E60" s="397"/>
      <c r="F60" s="397"/>
      <c r="G60" s="397"/>
      <c r="H60" s="397"/>
      <c r="I60" s="397"/>
      <c r="J60" s="397"/>
      <c r="K60" s="397"/>
      <c r="L60" s="397"/>
    </row>
    <row r="61" spans="2:12" ht="12.75">
      <c r="B61" s="397"/>
      <c r="C61" s="397"/>
      <c r="D61" s="397"/>
      <c r="E61" s="397"/>
      <c r="F61" s="397"/>
      <c r="G61" s="397"/>
      <c r="H61" s="397"/>
      <c r="I61" s="397"/>
      <c r="J61" s="397"/>
      <c r="K61" s="397"/>
      <c r="L61" s="397"/>
    </row>
    <row r="62" ht="5.25" customHeight="1"/>
    <row r="63" spans="2:12" ht="12.75">
      <c r="B63" s="397" t="s">
        <v>207</v>
      </c>
      <c r="C63" s="397"/>
      <c r="D63" s="397"/>
      <c r="E63" s="397"/>
      <c r="F63" s="397"/>
      <c r="G63" s="397"/>
      <c r="H63" s="397"/>
      <c r="I63" s="397"/>
      <c r="J63" s="397"/>
      <c r="K63" s="397"/>
      <c r="L63" s="397"/>
    </row>
    <row r="64" spans="2:12" ht="12.75">
      <c r="B64" s="397"/>
      <c r="C64" s="397"/>
      <c r="D64" s="397"/>
      <c r="E64" s="397"/>
      <c r="F64" s="397"/>
      <c r="G64" s="397"/>
      <c r="H64" s="397"/>
      <c r="I64" s="397"/>
      <c r="J64" s="397"/>
      <c r="K64" s="397"/>
      <c r="L64" s="397"/>
    </row>
    <row r="65" spans="2:12" ht="12.75">
      <c r="B65" s="397"/>
      <c r="C65" s="397"/>
      <c r="D65" s="397"/>
      <c r="E65" s="397"/>
      <c r="F65" s="397"/>
      <c r="G65" s="397"/>
      <c r="H65" s="397"/>
      <c r="I65" s="397"/>
      <c r="J65" s="397"/>
      <c r="K65" s="397"/>
      <c r="L65" s="397"/>
    </row>
    <row r="66" spans="2:12" ht="12.75">
      <c r="B66" s="397"/>
      <c r="C66" s="397"/>
      <c r="D66" s="397"/>
      <c r="E66" s="397"/>
      <c r="F66" s="397"/>
      <c r="G66" s="397"/>
      <c r="H66" s="397"/>
      <c r="I66" s="397"/>
      <c r="J66" s="397"/>
      <c r="K66" s="397"/>
      <c r="L66" s="397"/>
    </row>
    <row r="77" spans="2:12" ht="12.75">
      <c r="B77" s="397" t="s">
        <v>203</v>
      </c>
      <c r="C77" s="397"/>
      <c r="D77" s="397"/>
      <c r="E77" s="397"/>
      <c r="F77" s="397"/>
      <c r="G77" s="397"/>
      <c r="H77" s="397"/>
      <c r="I77" s="397"/>
      <c r="J77" s="397"/>
      <c r="K77" s="397"/>
      <c r="L77" s="397"/>
    </row>
    <row r="78" spans="2:12" ht="12.75">
      <c r="B78" s="397"/>
      <c r="C78" s="397"/>
      <c r="D78" s="397"/>
      <c r="E78" s="397"/>
      <c r="F78" s="397"/>
      <c r="G78" s="397"/>
      <c r="H78" s="397"/>
      <c r="I78" s="397"/>
      <c r="J78" s="397"/>
      <c r="K78" s="397"/>
      <c r="L78" s="397"/>
    </row>
    <row r="79" spans="2:12" ht="12.75">
      <c r="B79" s="397"/>
      <c r="C79" s="397"/>
      <c r="D79" s="397"/>
      <c r="E79" s="397"/>
      <c r="F79" s="397"/>
      <c r="G79" s="397"/>
      <c r="H79" s="397"/>
      <c r="I79" s="397"/>
      <c r="J79" s="397"/>
      <c r="K79" s="397"/>
      <c r="L79" s="397"/>
    </row>
    <row r="107" spans="2:12" ht="12.75">
      <c r="B107" s="397" t="s">
        <v>192</v>
      </c>
      <c r="C107" s="397"/>
      <c r="D107" s="397"/>
      <c r="E107" s="397"/>
      <c r="F107" s="397"/>
      <c r="G107" s="397"/>
      <c r="H107" s="397"/>
      <c r="I107" s="397"/>
      <c r="J107" s="397"/>
      <c r="K107" s="397"/>
      <c r="L107" s="397"/>
    </row>
    <row r="108" spans="2:12" ht="12.75">
      <c r="B108" s="397"/>
      <c r="C108" s="397"/>
      <c r="D108" s="397"/>
      <c r="E108" s="397"/>
      <c r="F108" s="397"/>
      <c r="G108" s="397"/>
      <c r="H108" s="397"/>
      <c r="I108" s="397"/>
      <c r="J108" s="397"/>
      <c r="K108" s="397"/>
      <c r="L108" s="397"/>
    </row>
    <row r="109" spans="2:12" ht="12.75">
      <c r="B109" s="397"/>
      <c r="C109" s="397"/>
      <c r="D109" s="397"/>
      <c r="E109" s="397"/>
      <c r="F109" s="397"/>
      <c r="G109" s="397"/>
      <c r="H109" s="397"/>
      <c r="I109" s="397"/>
      <c r="J109" s="397"/>
      <c r="K109" s="397"/>
      <c r="L109" s="397"/>
    </row>
    <row r="110" spans="2:12" ht="12.75">
      <c r="B110" s="397"/>
      <c r="C110" s="397"/>
      <c r="D110" s="397"/>
      <c r="E110" s="397"/>
      <c r="F110" s="397"/>
      <c r="G110" s="397"/>
      <c r="H110" s="397"/>
      <c r="I110" s="397"/>
      <c r="J110" s="397"/>
      <c r="K110" s="397"/>
      <c r="L110" s="397"/>
    </row>
    <row r="111" spans="2:12" ht="12.75">
      <c r="B111" s="397"/>
      <c r="C111" s="397"/>
      <c r="D111" s="397"/>
      <c r="E111" s="397"/>
      <c r="F111" s="397"/>
      <c r="G111" s="397"/>
      <c r="H111" s="397"/>
      <c r="I111" s="397"/>
      <c r="J111" s="397"/>
      <c r="K111" s="397"/>
      <c r="L111" s="397"/>
    </row>
    <row r="124" spans="2:12" ht="12.75">
      <c r="B124" s="397" t="s">
        <v>208</v>
      </c>
      <c r="C124" s="397"/>
      <c r="D124" s="397"/>
      <c r="E124" s="397"/>
      <c r="F124" s="397"/>
      <c r="G124" s="397"/>
      <c r="H124" s="397"/>
      <c r="I124" s="397"/>
      <c r="J124" s="397"/>
      <c r="K124" s="397"/>
      <c r="L124" s="397"/>
    </row>
    <row r="125" spans="2:12" ht="12.75">
      <c r="B125" s="397"/>
      <c r="C125" s="397"/>
      <c r="D125" s="397"/>
      <c r="E125" s="397"/>
      <c r="F125" s="397"/>
      <c r="G125" s="397"/>
      <c r="H125" s="397"/>
      <c r="I125" s="397"/>
      <c r="J125" s="397"/>
      <c r="K125" s="397"/>
      <c r="L125" s="397"/>
    </row>
    <row r="126" spans="2:12" ht="12.75">
      <c r="B126" s="397"/>
      <c r="C126" s="397"/>
      <c r="D126" s="397"/>
      <c r="E126" s="397"/>
      <c r="F126" s="397"/>
      <c r="G126" s="397"/>
      <c r="H126" s="397"/>
      <c r="I126" s="397"/>
      <c r="J126" s="397"/>
      <c r="K126" s="397"/>
      <c r="L126" s="397"/>
    </row>
    <row r="127" spans="2:12" ht="12.75">
      <c r="B127" s="397"/>
      <c r="C127" s="397"/>
      <c r="D127" s="397"/>
      <c r="E127" s="397"/>
      <c r="F127" s="397"/>
      <c r="G127" s="397"/>
      <c r="H127" s="397"/>
      <c r="I127" s="397"/>
      <c r="J127" s="397"/>
      <c r="K127" s="397"/>
      <c r="L127" s="397"/>
    </row>
    <row r="128" spans="2:12" ht="12.75">
      <c r="B128" s="397"/>
      <c r="C128" s="397"/>
      <c r="D128" s="397"/>
      <c r="E128" s="397"/>
      <c r="F128" s="397"/>
      <c r="G128" s="397"/>
      <c r="H128" s="397"/>
      <c r="I128" s="397"/>
      <c r="J128" s="397"/>
      <c r="K128" s="397"/>
      <c r="L128" s="397"/>
    </row>
    <row r="129" spans="2:12" ht="12.75">
      <c r="B129" s="397"/>
      <c r="C129" s="397"/>
      <c r="D129" s="397"/>
      <c r="E129" s="397"/>
      <c r="F129" s="397"/>
      <c r="G129" s="397"/>
      <c r="H129" s="397"/>
      <c r="I129" s="397"/>
      <c r="J129" s="397"/>
      <c r="K129" s="397"/>
      <c r="L129" s="397"/>
    </row>
    <row r="130" spans="2:12" ht="12.75">
      <c r="B130" s="397"/>
      <c r="C130" s="397"/>
      <c r="D130" s="397"/>
      <c r="E130" s="397"/>
      <c r="F130" s="397"/>
      <c r="G130" s="397"/>
      <c r="H130" s="397"/>
      <c r="I130" s="397"/>
      <c r="J130" s="397"/>
      <c r="K130" s="397"/>
      <c r="L130" s="397"/>
    </row>
    <row r="143" spans="2:12" ht="12.75">
      <c r="B143" s="397" t="s">
        <v>205</v>
      </c>
      <c r="C143" s="397"/>
      <c r="D143" s="397"/>
      <c r="E143" s="397"/>
      <c r="F143" s="397"/>
      <c r="G143" s="397"/>
      <c r="H143" s="397"/>
      <c r="I143" s="397"/>
      <c r="J143" s="397"/>
      <c r="K143" s="397"/>
      <c r="L143" s="397"/>
    </row>
    <row r="144" spans="2:12" ht="12.75">
      <c r="B144" s="397"/>
      <c r="C144" s="397"/>
      <c r="D144" s="397"/>
      <c r="E144" s="397"/>
      <c r="F144" s="397"/>
      <c r="G144" s="397"/>
      <c r="H144" s="397"/>
      <c r="I144" s="397"/>
      <c r="J144" s="397"/>
      <c r="K144" s="397"/>
      <c r="L144" s="397"/>
    </row>
    <row r="145" spans="2:12" ht="12.75">
      <c r="B145" s="397"/>
      <c r="C145" s="397"/>
      <c r="D145" s="397"/>
      <c r="E145" s="397"/>
      <c r="F145" s="397"/>
      <c r="G145" s="397"/>
      <c r="H145" s="397"/>
      <c r="I145" s="397"/>
      <c r="J145" s="397"/>
      <c r="K145" s="397"/>
      <c r="L145" s="397"/>
    </row>
    <row r="167" spans="2:12" ht="12.75">
      <c r="B167" s="397" t="s">
        <v>193</v>
      </c>
      <c r="C167" s="397"/>
      <c r="D167" s="397"/>
      <c r="E167" s="397"/>
      <c r="F167" s="397"/>
      <c r="G167" s="397"/>
      <c r="H167" s="397"/>
      <c r="I167" s="397"/>
      <c r="J167" s="397"/>
      <c r="K167" s="397"/>
      <c r="L167" s="397"/>
    </row>
    <row r="168" spans="2:12" ht="12.75">
      <c r="B168" s="397"/>
      <c r="C168" s="397"/>
      <c r="D168" s="397"/>
      <c r="E168" s="397"/>
      <c r="F168" s="397"/>
      <c r="G168" s="397"/>
      <c r="H168" s="397"/>
      <c r="I168" s="397"/>
      <c r="J168" s="397"/>
      <c r="K168" s="397"/>
      <c r="L168" s="397"/>
    </row>
    <row r="180" ht="12.75">
      <c r="B180" s="59" t="s">
        <v>202</v>
      </c>
    </row>
  </sheetData>
  <mergeCells count="17">
    <mergeCell ref="B8:L8"/>
    <mergeCell ref="B2:L2"/>
    <mergeCell ref="B63:L66"/>
    <mergeCell ref="B3:L6"/>
    <mergeCell ref="B9:L12"/>
    <mergeCell ref="B17:L19"/>
    <mergeCell ref="B14:L15"/>
    <mergeCell ref="B42:L43"/>
    <mergeCell ref="B58:E58"/>
    <mergeCell ref="B59:L61"/>
    <mergeCell ref="B167:L168"/>
    <mergeCell ref="B143:L145"/>
    <mergeCell ref="B35:L35"/>
    <mergeCell ref="B36:L40"/>
    <mergeCell ref="B77:L79"/>
    <mergeCell ref="B124:L130"/>
    <mergeCell ref="B107:L111"/>
  </mergeCells>
  <hyperlinks>
    <hyperlink ref="B180" location="'Rapid Testing and Test Data'!A1" display="go to Config sheet now."/>
  </hyperlink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2:B151"/>
  <sheetViews>
    <sheetView workbookViewId="0" topLeftCell="A1">
      <selection activeCell="A1" sqref="A1"/>
    </sheetView>
  </sheetViews>
  <sheetFormatPr defaultColWidth="9.140625" defaultRowHeight="12.75"/>
  <sheetData>
    <row r="2" spans="1:2" ht="12.75">
      <c r="A2" t="s">
        <v>113</v>
      </c>
      <c r="B2" t="s">
        <v>71</v>
      </c>
    </row>
    <row r="3" spans="1:2" ht="12.75">
      <c r="A3" t="s">
        <v>114</v>
      </c>
      <c r="B3" t="s">
        <v>73</v>
      </c>
    </row>
    <row r="4" spans="1:2" ht="12.75">
      <c r="A4" t="s">
        <v>115</v>
      </c>
      <c r="B4" t="s">
        <v>73</v>
      </c>
    </row>
    <row r="5" spans="1:2" ht="12.75">
      <c r="A5" t="s">
        <v>116</v>
      </c>
      <c r="B5" t="s">
        <v>71</v>
      </c>
    </row>
    <row r="6" spans="1:2" ht="12.75">
      <c r="A6" t="s">
        <v>117</v>
      </c>
      <c r="B6" t="s">
        <v>71</v>
      </c>
    </row>
    <row r="7" spans="1:2" ht="12.75">
      <c r="A7" t="s">
        <v>118</v>
      </c>
      <c r="B7" t="s">
        <v>73</v>
      </c>
    </row>
    <row r="8" spans="1:2" ht="12.75">
      <c r="A8" t="s">
        <v>119</v>
      </c>
      <c r="B8" t="s">
        <v>73</v>
      </c>
    </row>
    <row r="9" spans="1:2" ht="12.75">
      <c r="A9" t="s">
        <v>120</v>
      </c>
      <c r="B9" t="s">
        <v>71</v>
      </c>
    </row>
    <row r="10" spans="1:2" ht="12.75">
      <c r="A10" t="s">
        <v>70</v>
      </c>
      <c r="B10" t="s">
        <v>71</v>
      </c>
    </row>
    <row r="11" spans="1:2" ht="12.75">
      <c r="A11" t="s">
        <v>72</v>
      </c>
      <c r="B11" t="s">
        <v>73</v>
      </c>
    </row>
    <row r="12" spans="1:2" ht="12.75">
      <c r="A12" t="s">
        <v>74</v>
      </c>
      <c r="B12" t="s">
        <v>129</v>
      </c>
    </row>
    <row r="13" spans="1:2" ht="12.75">
      <c r="A13" t="s">
        <v>75</v>
      </c>
      <c r="B13" t="s">
        <v>71</v>
      </c>
    </row>
    <row r="14" spans="1:2" ht="12.75">
      <c r="A14" t="s">
        <v>100</v>
      </c>
      <c r="B14" t="s">
        <v>71</v>
      </c>
    </row>
    <row r="15" spans="1:2" ht="12.75">
      <c r="A15" t="s">
        <v>101</v>
      </c>
      <c r="B15" t="s">
        <v>73</v>
      </c>
    </row>
    <row r="16" spans="1:2" ht="12.75">
      <c r="A16" t="s">
        <v>102</v>
      </c>
      <c r="B16" t="s">
        <v>129</v>
      </c>
    </row>
    <row r="17" spans="1:2" ht="12.75">
      <c r="A17" t="s">
        <v>103</v>
      </c>
      <c r="B17" t="s">
        <v>71</v>
      </c>
    </row>
    <row r="18" spans="1:2" ht="12.75">
      <c r="A18" t="s">
        <v>155</v>
      </c>
      <c r="B18" t="s">
        <v>71</v>
      </c>
    </row>
    <row r="19" spans="1:2" ht="12.75">
      <c r="A19" t="s">
        <v>156</v>
      </c>
      <c r="B19" t="s">
        <v>73</v>
      </c>
    </row>
    <row r="20" spans="1:2" ht="12.75">
      <c r="A20" t="s">
        <v>157</v>
      </c>
      <c r="B20" t="s">
        <v>158</v>
      </c>
    </row>
    <row r="21" spans="1:2" ht="12.75">
      <c r="A21" t="s">
        <v>159</v>
      </c>
      <c r="B21" t="s">
        <v>71</v>
      </c>
    </row>
    <row r="22" spans="1:2" ht="12.75">
      <c r="A22" t="s">
        <v>160</v>
      </c>
      <c r="B22" t="s">
        <v>71</v>
      </c>
    </row>
    <row r="23" spans="1:2" ht="12.75">
      <c r="A23" t="s">
        <v>161</v>
      </c>
      <c r="B23" t="s">
        <v>73</v>
      </c>
    </row>
    <row r="24" spans="1:2" ht="12.75">
      <c r="A24" t="s">
        <v>162</v>
      </c>
      <c r="B24" t="s">
        <v>158</v>
      </c>
    </row>
    <row r="25" spans="1:2" ht="12.75">
      <c r="A25" t="s">
        <v>163</v>
      </c>
      <c r="B25" t="s">
        <v>71</v>
      </c>
    </row>
    <row r="26" spans="1:2" ht="12.75">
      <c r="A26" t="s">
        <v>170</v>
      </c>
      <c r="B26" t="s">
        <v>71</v>
      </c>
    </row>
    <row r="27" spans="1:2" ht="12.75">
      <c r="A27" t="s">
        <v>171</v>
      </c>
      <c r="B27" t="s">
        <v>73</v>
      </c>
    </row>
    <row r="28" spans="1:2" ht="12.75">
      <c r="A28" t="s">
        <v>172</v>
      </c>
      <c r="B28" t="s">
        <v>180</v>
      </c>
    </row>
    <row r="29" spans="1:2" ht="12.75">
      <c r="A29" t="s">
        <v>173</v>
      </c>
      <c r="B29" t="s">
        <v>71</v>
      </c>
    </row>
    <row r="30" spans="1:2" ht="12.75">
      <c r="A30" t="s">
        <v>146</v>
      </c>
      <c r="B30" t="s">
        <v>71</v>
      </c>
    </row>
    <row r="31" spans="1:2" ht="12.75">
      <c r="A31" t="s">
        <v>147</v>
      </c>
      <c r="B31" t="s">
        <v>73</v>
      </c>
    </row>
    <row r="32" spans="1:2" ht="12.75">
      <c r="A32" t="s">
        <v>148</v>
      </c>
      <c r="B32" t="s">
        <v>154</v>
      </c>
    </row>
    <row r="33" spans="1:2" ht="12.75">
      <c r="A33" t="s">
        <v>149</v>
      </c>
      <c r="B33" t="s">
        <v>71</v>
      </c>
    </row>
    <row r="34" spans="1:2" ht="12.75">
      <c r="A34" t="s">
        <v>174</v>
      </c>
      <c r="B34" t="s">
        <v>71</v>
      </c>
    </row>
    <row r="35" spans="1:2" ht="12.75">
      <c r="A35" t="s">
        <v>175</v>
      </c>
      <c r="B35" t="s">
        <v>73</v>
      </c>
    </row>
    <row r="36" spans="1:2" ht="12.75">
      <c r="A36" t="s">
        <v>176</v>
      </c>
      <c r="B36" t="s">
        <v>180</v>
      </c>
    </row>
    <row r="37" spans="1:2" ht="12.75">
      <c r="A37" t="s">
        <v>177</v>
      </c>
      <c r="B37" t="s">
        <v>71</v>
      </c>
    </row>
    <row r="38" spans="1:2" ht="12.75">
      <c r="A38" t="s">
        <v>150</v>
      </c>
      <c r="B38" t="s">
        <v>71</v>
      </c>
    </row>
    <row r="39" spans="1:2" ht="12.75">
      <c r="A39" t="s">
        <v>151</v>
      </c>
      <c r="B39" t="s">
        <v>73</v>
      </c>
    </row>
    <row r="40" spans="1:2" ht="12.75">
      <c r="A40" t="s">
        <v>152</v>
      </c>
      <c r="B40" t="s">
        <v>168</v>
      </c>
    </row>
    <row r="41" spans="1:2" ht="12.75">
      <c r="A41" t="s">
        <v>153</v>
      </c>
      <c r="B41" t="s">
        <v>112</v>
      </c>
    </row>
    <row r="42" spans="1:2" ht="12.75">
      <c r="A42" t="s">
        <v>76</v>
      </c>
      <c r="B42" t="s">
        <v>71</v>
      </c>
    </row>
    <row r="43" spans="1:2" ht="12.75">
      <c r="A43" t="s">
        <v>77</v>
      </c>
      <c r="B43" t="s">
        <v>73</v>
      </c>
    </row>
    <row r="44" spans="1:2" ht="12.75">
      <c r="A44" t="s">
        <v>78</v>
      </c>
      <c r="B44" t="s">
        <v>166</v>
      </c>
    </row>
    <row r="45" spans="1:2" ht="12.75">
      <c r="A45" t="s">
        <v>79</v>
      </c>
      <c r="B45" t="s">
        <v>71</v>
      </c>
    </row>
    <row r="46" spans="1:2" ht="12.75">
      <c r="A46" t="s">
        <v>104</v>
      </c>
      <c r="B46" t="s">
        <v>112</v>
      </c>
    </row>
    <row r="47" spans="1:2" ht="12.75">
      <c r="A47" t="s">
        <v>105</v>
      </c>
      <c r="B47" t="s">
        <v>73</v>
      </c>
    </row>
    <row r="48" spans="1:2" ht="12.75">
      <c r="A48" t="s">
        <v>106</v>
      </c>
      <c r="B48" t="s">
        <v>166</v>
      </c>
    </row>
    <row r="49" spans="1:2" ht="12.75">
      <c r="A49" t="s">
        <v>107</v>
      </c>
      <c r="B49" t="s">
        <v>71</v>
      </c>
    </row>
    <row r="50" spans="1:2" ht="12.75">
      <c r="A50" t="s">
        <v>137</v>
      </c>
      <c r="B50" t="s">
        <v>71</v>
      </c>
    </row>
    <row r="51" spans="1:2" ht="12.75">
      <c r="A51" t="s">
        <v>138</v>
      </c>
      <c r="B51" t="s">
        <v>73</v>
      </c>
    </row>
    <row r="52" spans="1:2" ht="12.75">
      <c r="A52" t="s">
        <v>139</v>
      </c>
      <c r="B52" t="s">
        <v>433</v>
      </c>
    </row>
    <row r="53" spans="1:2" ht="12.75">
      <c r="A53" t="s">
        <v>140</v>
      </c>
      <c r="B53" t="s">
        <v>71</v>
      </c>
    </row>
    <row r="54" spans="1:2" ht="12.75">
      <c r="A54" t="s">
        <v>80</v>
      </c>
      <c r="B54" t="s">
        <v>71</v>
      </c>
    </row>
    <row r="55" spans="1:2" ht="12.75">
      <c r="A55" t="s">
        <v>81</v>
      </c>
      <c r="B55" t="s">
        <v>73</v>
      </c>
    </row>
    <row r="56" spans="1:2" ht="12.75">
      <c r="A56" t="s">
        <v>82</v>
      </c>
      <c r="B56" t="s">
        <v>434</v>
      </c>
    </row>
    <row r="57" spans="1:2" ht="12.75">
      <c r="A57" t="s">
        <v>83</v>
      </c>
      <c r="B57" t="s">
        <v>71</v>
      </c>
    </row>
    <row r="58" spans="1:2" ht="12.75">
      <c r="A58" t="s">
        <v>337</v>
      </c>
      <c r="B58" t="s">
        <v>71</v>
      </c>
    </row>
    <row r="59" spans="1:2" ht="12.75">
      <c r="A59" t="s">
        <v>338</v>
      </c>
      <c r="B59" t="s">
        <v>73</v>
      </c>
    </row>
    <row r="60" spans="1:2" ht="12.75">
      <c r="A60" t="s">
        <v>339</v>
      </c>
      <c r="B60" t="s">
        <v>458</v>
      </c>
    </row>
    <row r="61" spans="1:2" ht="12.75">
      <c r="A61" t="s">
        <v>340</v>
      </c>
      <c r="B61" t="s">
        <v>71</v>
      </c>
    </row>
    <row r="62" spans="1:2" ht="12.75">
      <c r="A62" t="s">
        <v>141</v>
      </c>
      <c r="B62" t="s">
        <v>71</v>
      </c>
    </row>
    <row r="63" spans="1:2" ht="12.75">
      <c r="A63" t="s">
        <v>142</v>
      </c>
      <c r="B63" t="s">
        <v>73</v>
      </c>
    </row>
    <row r="64" spans="1:2" ht="12.75">
      <c r="A64" t="s">
        <v>143</v>
      </c>
      <c r="B64" t="s">
        <v>144</v>
      </c>
    </row>
    <row r="65" spans="1:2" ht="12.75">
      <c r="A65" t="s">
        <v>145</v>
      </c>
      <c r="B65" t="s">
        <v>112</v>
      </c>
    </row>
    <row r="66" spans="1:2" ht="12.75">
      <c r="A66" t="s">
        <v>108</v>
      </c>
      <c r="B66" t="s">
        <v>112</v>
      </c>
    </row>
    <row r="67" spans="1:2" ht="12.75">
      <c r="A67" t="s">
        <v>109</v>
      </c>
      <c r="B67" t="s">
        <v>73</v>
      </c>
    </row>
    <row r="68" spans="1:2" ht="12.75">
      <c r="A68" t="s">
        <v>110</v>
      </c>
      <c r="B68" t="s">
        <v>434</v>
      </c>
    </row>
    <row r="69" spans="1:2" ht="12.75">
      <c r="A69" t="s">
        <v>111</v>
      </c>
      <c r="B69" t="s">
        <v>71</v>
      </c>
    </row>
    <row r="70" spans="1:2" ht="12.75">
      <c r="A70" t="s">
        <v>342</v>
      </c>
      <c r="B70" t="s">
        <v>112</v>
      </c>
    </row>
    <row r="71" spans="1:2" ht="12.75">
      <c r="A71" t="s">
        <v>343</v>
      </c>
      <c r="B71" t="s">
        <v>73</v>
      </c>
    </row>
    <row r="72" spans="1:2" ht="12.75">
      <c r="A72" t="s">
        <v>344</v>
      </c>
      <c r="B72" t="s">
        <v>458</v>
      </c>
    </row>
    <row r="73" spans="1:2" ht="12.75">
      <c r="A73" t="s">
        <v>345</v>
      </c>
      <c r="B73" t="s">
        <v>71</v>
      </c>
    </row>
    <row r="74" spans="1:2" ht="12.75">
      <c r="A74" t="s">
        <v>64</v>
      </c>
      <c r="B74">
        <v>1</v>
      </c>
    </row>
    <row r="75" spans="1:2" ht="12.75">
      <c r="A75" t="s">
        <v>65</v>
      </c>
      <c r="B75">
        <v>1</v>
      </c>
    </row>
    <row r="76" spans="1:2" ht="12.75">
      <c r="A76" t="s">
        <v>66</v>
      </c>
      <c r="B76" t="s">
        <v>169</v>
      </c>
    </row>
    <row r="77" spans="1:2" ht="12.75">
      <c r="A77" t="s">
        <v>67</v>
      </c>
      <c r="B77">
        <v>1</v>
      </c>
    </row>
    <row r="78" spans="1:2" ht="12.75">
      <c r="A78" t="s">
        <v>68</v>
      </c>
      <c r="B78">
        <v>0</v>
      </c>
    </row>
    <row r="79" spans="1:2" ht="12.75">
      <c r="A79" t="s">
        <v>69</v>
      </c>
      <c r="B79">
        <v>0</v>
      </c>
    </row>
    <row r="80" spans="1:2" ht="12.75">
      <c r="A80" t="s">
        <v>460</v>
      </c>
      <c r="B80" t="s">
        <v>71</v>
      </c>
    </row>
    <row r="81" spans="1:2" ht="12.75">
      <c r="A81" t="s">
        <v>461</v>
      </c>
      <c r="B81" t="s">
        <v>73</v>
      </c>
    </row>
    <row r="82" spans="1:2" ht="12.75">
      <c r="A82" t="s">
        <v>462</v>
      </c>
      <c r="B82" t="s">
        <v>433</v>
      </c>
    </row>
    <row r="83" spans="1:2" ht="12.75">
      <c r="A83" t="s">
        <v>463</v>
      </c>
      <c r="B83" t="s">
        <v>71</v>
      </c>
    </row>
    <row r="84" spans="1:2" ht="12.75">
      <c r="A84" t="s">
        <v>464</v>
      </c>
      <c r="B84" t="s">
        <v>71</v>
      </c>
    </row>
    <row r="85" spans="1:2" ht="12.75">
      <c r="A85" t="s">
        <v>465</v>
      </c>
      <c r="B85" t="s">
        <v>73</v>
      </c>
    </row>
    <row r="86" spans="1:2" ht="12.75">
      <c r="A86" t="s">
        <v>466</v>
      </c>
      <c r="B86" t="s">
        <v>458</v>
      </c>
    </row>
    <row r="87" spans="1:2" ht="12.75">
      <c r="A87" t="s">
        <v>467</v>
      </c>
      <c r="B87" t="s">
        <v>71</v>
      </c>
    </row>
    <row r="88" spans="1:2" ht="12.75">
      <c r="A88" t="s">
        <v>468</v>
      </c>
      <c r="B88" t="s">
        <v>71</v>
      </c>
    </row>
    <row r="89" spans="1:2" ht="12.75">
      <c r="A89" t="s">
        <v>469</v>
      </c>
      <c r="B89" t="s">
        <v>73</v>
      </c>
    </row>
    <row r="90" spans="1:2" ht="12.75">
      <c r="A90" t="s">
        <v>470</v>
      </c>
      <c r="B90" t="s">
        <v>434</v>
      </c>
    </row>
    <row r="91" spans="1:2" ht="12.75">
      <c r="A91" t="s">
        <v>471</v>
      </c>
      <c r="B91" t="s">
        <v>71</v>
      </c>
    </row>
    <row r="92" spans="1:2" ht="12.75">
      <c r="A92" t="s">
        <v>121</v>
      </c>
      <c r="B92" t="s">
        <v>71</v>
      </c>
    </row>
    <row r="93" spans="1:2" ht="12.75">
      <c r="A93" t="s">
        <v>122</v>
      </c>
      <c r="B93" t="s">
        <v>73</v>
      </c>
    </row>
    <row r="94" spans="1:2" ht="12.75">
      <c r="A94" t="s">
        <v>123</v>
      </c>
      <c r="B94" t="s">
        <v>341</v>
      </c>
    </row>
    <row r="95" spans="1:2" ht="12.75">
      <c r="A95" t="s">
        <v>124</v>
      </c>
      <c r="B95" t="s">
        <v>71</v>
      </c>
    </row>
    <row r="96" spans="1:2" ht="12.75">
      <c r="A96" t="s">
        <v>272</v>
      </c>
      <c r="B96" t="s">
        <v>71</v>
      </c>
    </row>
    <row r="97" spans="1:2" ht="12.75">
      <c r="A97" t="s">
        <v>273</v>
      </c>
      <c r="B97" t="s">
        <v>73</v>
      </c>
    </row>
    <row r="98" spans="1:2" ht="12.75">
      <c r="A98" t="s">
        <v>274</v>
      </c>
      <c r="B98" t="s">
        <v>289</v>
      </c>
    </row>
    <row r="99" spans="1:2" ht="12.75">
      <c r="A99" t="s">
        <v>275</v>
      </c>
      <c r="B99" t="s">
        <v>71</v>
      </c>
    </row>
    <row r="100" spans="1:2" ht="12.75">
      <c r="A100" t="s">
        <v>276</v>
      </c>
      <c r="B100" t="s">
        <v>71</v>
      </c>
    </row>
    <row r="101" spans="1:2" ht="12.75">
      <c r="A101" t="s">
        <v>277</v>
      </c>
      <c r="B101" t="s">
        <v>73</v>
      </c>
    </row>
    <row r="102" spans="1:2" ht="12.75">
      <c r="A102" t="s">
        <v>278</v>
      </c>
      <c r="B102" t="s">
        <v>291</v>
      </c>
    </row>
    <row r="103" spans="1:2" ht="12.75">
      <c r="A103" t="s">
        <v>279</v>
      </c>
      <c r="B103" t="s">
        <v>71</v>
      </c>
    </row>
    <row r="104" spans="1:2" ht="12.75">
      <c r="A104" t="s">
        <v>194</v>
      </c>
      <c r="B104" t="s">
        <v>71</v>
      </c>
    </row>
    <row r="105" spans="1:2" ht="12.75">
      <c r="A105" t="s">
        <v>195</v>
      </c>
      <c r="B105" t="s">
        <v>73</v>
      </c>
    </row>
    <row r="106" spans="1:2" ht="12.75">
      <c r="A106" t="s">
        <v>196</v>
      </c>
      <c r="B106" t="s">
        <v>204</v>
      </c>
    </row>
    <row r="107" spans="1:2" ht="12.75">
      <c r="A107" t="s">
        <v>197</v>
      </c>
      <c r="B107" t="s">
        <v>71</v>
      </c>
    </row>
    <row r="108" spans="1:2" ht="12.75">
      <c r="A108" t="s">
        <v>84</v>
      </c>
      <c r="B108" t="s">
        <v>206</v>
      </c>
    </row>
    <row r="109" spans="1:2" ht="12.75">
      <c r="A109" t="s">
        <v>85</v>
      </c>
      <c r="B109" t="s">
        <v>178</v>
      </c>
    </row>
    <row r="110" spans="1:2" ht="12.75">
      <c r="A110" t="s">
        <v>86</v>
      </c>
      <c r="B110">
        <v>0</v>
      </c>
    </row>
    <row r="111" spans="1:2" ht="12.75">
      <c r="A111" t="s">
        <v>87</v>
      </c>
      <c r="B111" t="s">
        <v>179</v>
      </c>
    </row>
    <row r="112" spans="1:2" ht="12.75">
      <c r="A112" t="s">
        <v>88</v>
      </c>
      <c r="B112">
        <v>3</v>
      </c>
    </row>
    <row r="113" spans="1:2" ht="12.75">
      <c r="A113" t="s">
        <v>89</v>
      </c>
      <c r="B113">
        <v>10092543</v>
      </c>
    </row>
    <row r="114" spans="1:2" ht="12.75">
      <c r="A114" t="s">
        <v>90</v>
      </c>
      <c r="B114" t="s">
        <v>165</v>
      </c>
    </row>
    <row r="115" spans="1:2" ht="12.75">
      <c r="A115" t="s">
        <v>91</v>
      </c>
      <c r="B115">
        <v>16777215</v>
      </c>
    </row>
    <row r="116" spans="1:2" ht="12.75">
      <c r="A116" t="s">
        <v>92</v>
      </c>
      <c r="B116">
        <v>0</v>
      </c>
    </row>
    <row r="117" spans="1:2" ht="12.75">
      <c r="A117" t="s">
        <v>93</v>
      </c>
      <c r="B117">
        <v>0</v>
      </c>
    </row>
    <row r="118" spans="1:2" ht="12.75">
      <c r="A118" t="s">
        <v>94</v>
      </c>
      <c r="B118">
        <v>0</v>
      </c>
    </row>
    <row r="119" spans="1:2" ht="12.75">
      <c r="A119" t="s">
        <v>95</v>
      </c>
      <c r="B119">
        <v>0</v>
      </c>
    </row>
    <row r="120" spans="1:2" ht="12.75">
      <c r="A120" t="s">
        <v>96</v>
      </c>
      <c r="B120">
        <v>2</v>
      </c>
    </row>
    <row r="121" spans="1:2" ht="12.75">
      <c r="A121" t="s">
        <v>97</v>
      </c>
      <c r="B121">
        <v>0</v>
      </c>
    </row>
    <row r="122" spans="1:2" ht="12.75">
      <c r="A122" t="s">
        <v>98</v>
      </c>
      <c r="B122">
        <v>750</v>
      </c>
    </row>
    <row r="123" spans="1:2" ht="12.75">
      <c r="A123" t="s">
        <v>99</v>
      </c>
      <c r="B123">
        <v>80</v>
      </c>
    </row>
    <row r="124" spans="1:2" ht="12.75">
      <c r="A124" t="s">
        <v>472</v>
      </c>
      <c r="B124" t="s">
        <v>71</v>
      </c>
    </row>
    <row r="125" spans="1:2" ht="12.75">
      <c r="A125" t="s">
        <v>473</v>
      </c>
      <c r="B125" t="s">
        <v>73</v>
      </c>
    </row>
    <row r="126" spans="1:2" ht="12.75">
      <c r="A126" t="s">
        <v>474</v>
      </c>
      <c r="B126" t="s">
        <v>433</v>
      </c>
    </row>
    <row r="127" spans="1:2" ht="12.75">
      <c r="A127" t="s">
        <v>475</v>
      </c>
      <c r="B127" t="s">
        <v>71</v>
      </c>
    </row>
    <row r="128" spans="1:2" ht="12.75">
      <c r="A128" t="s">
        <v>476</v>
      </c>
      <c r="B128" t="s">
        <v>112</v>
      </c>
    </row>
    <row r="129" spans="1:2" ht="12.75">
      <c r="A129" t="s">
        <v>477</v>
      </c>
      <c r="B129" t="s">
        <v>73</v>
      </c>
    </row>
    <row r="130" spans="1:2" ht="12.75">
      <c r="A130" t="s">
        <v>478</v>
      </c>
      <c r="B130" t="s">
        <v>458</v>
      </c>
    </row>
    <row r="131" spans="1:2" ht="12.75">
      <c r="A131" t="s">
        <v>479</v>
      </c>
      <c r="B131" t="s">
        <v>71</v>
      </c>
    </row>
    <row r="132" spans="1:2" ht="12.75">
      <c r="A132" t="s">
        <v>480</v>
      </c>
      <c r="B132" t="s">
        <v>112</v>
      </c>
    </row>
    <row r="133" spans="1:2" ht="12.75">
      <c r="A133" t="s">
        <v>481</v>
      </c>
      <c r="B133" t="s">
        <v>73</v>
      </c>
    </row>
    <row r="134" spans="1:2" ht="12.75">
      <c r="A134" t="s">
        <v>482</v>
      </c>
      <c r="B134" t="s">
        <v>434</v>
      </c>
    </row>
    <row r="135" spans="1:2" ht="12.75">
      <c r="A135" t="s">
        <v>483</v>
      </c>
      <c r="B135" t="s">
        <v>71</v>
      </c>
    </row>
    <row r="136" spans="1:2" ht="12.75">
      <c r="A136" t="s">
        <v>125</v>
      </c>
      <c r="B136" t="s">
        <v>71</v>
      </c>
    </row>
    <row r="137" spans="1:2" ht="12.75">
      <c r="A137" t="s">
        <v>126</v>
      </c>
      <c r="B137" t="s">
        <v>73</v>
      </c>
    </row>
    <row r="138" spans="1:2" ht="12.75">
      <c r="A138" t="s">
        <v>127</v>
      </c>
      <c r="B138" t="s">
        <v>459</v>
      </c>
    </row>
    <row r="139" spans="1:2" ht="12.75">
      <c r="A139" t="s">
        <v>128</v>
      </c>
      <c r="B139" t="s">
        <v>112</v>
      </c>
    </row>
    <row r="140" spans="1:2" ht="12.75">
      <c r="A140" t="s">
        <v>280</v>
      </c>
      <c r="B140" t="s">
        <v>71</v>
      </c>
    </row>
    <row r="141" spans="1:2" ht="12.75">
      <c r="A141" t="s">
        <v>281</v>
      </c>
      <c r="B141" t="s">
        <v>73</v>
      </c>
    </row>
    <row r="142" spans="1:2" ht="12.75">
      <c r="A142" t="s">
        <v>282</v>
      </c>
      <c r="B142" t="s">
        <v>459</v>
      </c>
    </row>
    <row r="143" spans="1:2" ht="12.75">
      <c r="A143" t="s">
        <v>283</v>
      </c>
      <c r="B143" t="s">
        <v>112</v>
      </c>
    </row>
    <row r="144" spans="1:2" ht="12.75">
      <c r="A144" t="s">
        <v>284</v>
      </c>
      <c r="B144" t="s">
        <v>71</v>
      </c>
    </row>
    <row r="145" spans="1:2" ht="12.75">
      <c r="A145" t="s">
        <v>285</v>
      </c>
      <c r="B145" t="s">
        <v>73</v>
      </c>
    </row>
    <row r="146" spans="1:2" ht="12.75">
      <c r="A146" t="s">
        <v>286</v>
      </c>
      <c r="B146" t="s">
        <v>459</v>
      </c>
    </row>
    <row r="147" spans="1:2" ht="12.75">
      <c r="A147" t="s">
        <v>287</v>
      </c>
      <c r="B147" t="s">
        <v>112</v>
      </c>
    </row>
    <row r="148" spans="1:2" ht="12.75">
      <c r="A148" t="s">
        <v>198</v>
      </c>
      <c r="B148" t="s">
        <v>112</v>
      </c>
    </row>
    <row r="149" spans="1:2" ht="12.75">
      <c r="A149" t="s">
        <v>199</v>
      </c>
      <c r="B149" t="s">
        <v>73</v>
      </c>
    </row>
    <row r="150" spans="1:2" ht="12.75">
      <c r="A150" t="s">
        <v>200</v>
      </c>
      <c r="B150" t="s">
        <v>204</v>
      </c>
    </row>
    <row r="151" spans="1:2" ht="12.75">
      <c r="A151" t="s">
        <v>201</v>
      </c>
      <c r="B151"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Michael R. Smialek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 Smialek</dc:creator>
  <cp:keywords/>
  <dc:description/>
  <cp:lastModifiedBy>Jeffrey_S_Zakem</cp:lastModifiedBy>
  <dcterms:created xsi:type="dcterms:W3CDTF">1999-01-16T05:39:46Z</dcterms:created>
  <dcterms:modified xsi:type="dcterms:W3CDTF">2006-07-28T20:51:18Z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